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GINEER\Engineering - Wayne Schoonover\Countywide HMA - 2022\Biding Documents\"/>
    </mc:Choice>
  </mc:AlternateContent>
  <xr:revisionPtr revIDLastSave="0" documentId="14_{D25CABEE-B20C-44AB-9410-54DC4796B07A}" xr6:coauthVersionLast="47" xr6:coauthVersionMax="47" xr10:uidLastSave="{00000000-0000-0000-0000-000000000000}"/>
  <bookViews>
    <workbookView xWindow="28680" yWindow="-120" windowWidth="29040" windowHeight="15840" firstSheet="4" activeTab="4" xr2:uid="{00000000-000D-0000-FFFF-FFFF00000000}"/>
  </bookViews>
  <sheets>
    <sheet name="2019 Bid Sheet" sheetId="1" state="hidden" r:id="rId1"/>
    <sheet name="2019 Bid Award" sheetId="12" state="hidden" r:id="rId2"/>
    <sheet name="2020 Remaining Work" sheetId="15" state="hidden" r:id="rId3"/>
    <sheet name="2020 HMA Estimated Quantities" sheetId="13" state="hidden" r:id="rId4"/>
    <sheet name="2022 HMA Bidding Sheet XLS" sheetId="17" r:id="rId5"/>
  </sheets>
  <definedNames>
    <definedName name="_xlnm.Print_Area" localSheetId="0">'2019 Bid Sheet'!$A$93:$K$119</definedName>
    <definedName name="_xlnm.Print_Area" localSheetId="3">'2020 HMA Estimated Quantities'!$A$105:$N$156</definedName>
    <definedName name="_xlnm.Print_Area" localSheetId="2">'2020 Remaining Work'!$A$1:$N$182</definedName>
    <definedName name="_xlnm.Print_Area" localSheetId="4">'2022 HMA Bidding Sheet XLS'!$A$106:$L$122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3" i="17" l="1"/>
  <c r="L92" i="17"/>
  <c r="I21" i="17"/>
  <c r="I136" i="17" s="1"/>
  <c r="I44" i="17"/>
  <c r="I70" i="17"/>
  <c r="I94" i="17"/>
  <c r="I142" i="17" s="1"/>
  <c r="I122" i="17"/>
  <c r="I144" i="17" s="1"/>
  <c r="K135" i="17"/>
  <c r="K108" i="17"/>
  <c r="K85" i="17"/>
  <c r="K59" i="17"/>
  <c r="L10" i="17"/>
  <c r="L9" i="17"/>
  <c r="L7" i="17"/>
  <c r="H144" i="17"/>
  <c r="H142" i="17"/>
  <c r="I140" i="17"/>
  <c r="H138" i="17"/>
  <c r="L130" i="17"/>
  <c r="L129" i="17"/>
  <c r="L128" i="17"/>
  <c r="L127" i="17"/>
  <c r="L126" i="17"/>
  <c r="L125" i="17"/>
  <c r="H122" i="17"/>
  <c r="L121" i="17"/>
  <c r="L120" i="17"/>
  <c r="L118" i="17"/>
  <c r="L117" i="17"/>
  <c r="L115" i="17"/>
  <c r="L114" i="17"/>
  <c r="L112" i="17"/>
  <c r="L110" i="17"/>
  <c r="A106" i="17"/>
  <c r="L102" i="17"/>
  <c r="L101" i="17"/>
  <c r="L100" i="17"/>
  <c r="L99" i="17"/>
  <c r="L98" i="17"/>
  <c r="L97" i="17"/>
  <c r="H94" i="17"/>
  <c r="L91" i="17"/>
  <c r="L89" i="17"/>
  <c r="A82" i="17"/>
  <c r="L78" i="17"/>
  <c r="L77" i="17"/>
  <c r="L76" i="17"/>
  <c r="L75" i="17"/>
  <c r="L74" i="17"/>
  <c r="L73" i="17"/>
  <c r="H70" i="17"/>
  <c r="L69" i="17"/>
  <c r="L67" i="17"/>
  <c r="L65" i="17"/>
  <c r="L63" i="17"/>
  <c r="L61" i="17"/>
  <c r="A56" i="17"/>
  <c r="L52" i="17"/>
  <c r="L51" i="17"/>
  <c r="L50" i="17"/>
  <c r="L49" i="17"/>
  <c r="L48" i="17"/>
  <c r="L47" i="17"/>
  <c r="I138" i="17"/>
  <c r="H44" i="17"/>
  <c r="L40" i="17"/>
  <c r="L38" i="17"/>
  <c r="L29" i="17"/>
  <c r="L28" i="17"/>
  <c r="L27" i="17"/>
  <c r="L26" i="17"/>
  <c r="L25" i="17"/>
  <c r="L24" i="17"/>
  <c r="H21" i="17"/>
  <c r="H136" i="17" s="1"/>
  <c r="L20" i="17"/>
  <c r="L19" i="17"/>
  <c r="L17" i="17"/>
  <c r="L16" i="17"/>
  <c r="L15" i="17"/>
  <c r="L14" i="17"/>
  <c r="L13" i="17"/>
  <c r="L12" i="17"/>
  <c r="L11" i="17"/>
  <c r="H146" i="17" l="1"/>
  <c r="L79" i="17"/>
  <c r="L131" i="17"/>
  <c r="L122" i="17"/>
  <c r="L144" i="17" s="1"/>
  <c r="L103" i="17"/>
  <c r="L94" i="17"/>
  <c r="L142" i="17" s="1"/>
  <c r="L70" i="17"/>
  <c r="L140" i="17" s="1"/>
  <c r="L53" i="17"/>
  <c r="L44" i="17"/>
  <c r="L138" i="17" s="1"/>
  <c r="L30" i="17"/>
  <c r="L21" i="17"/>
  <c r="L136" i="17" s="1"/>
  <c r="I146" i="17"/>
  <c r="L146" i="17" l="1"/>
  <c r="H41" i="13" l="1"/>
  <c r="H40" i="13"/>
  <c r="Q124" i="13" l="1"/>
  <c r="Q126" i="13"/>
  <c r="P126" i="13"/>
  <c r="Q125" i="13"/>
  <c r="P127" i="13"/>
  <c r="N127" i="13"/>
  <c r="N93" i="13"/>
  <c r="P93" i="13"/>
  <c r="I93" i="13"/>
  <c r="N66" i="13"/>
  <c r="N44" i="13"/>
  <c r="I44" i="13"/>
  <c r="I127" i="13" l="1"/>
  <c r="I20" i="13"/>
  <c r="I66" i="13"/>
  <c r="H20" i="13"/>
  <c r="H44" i="13"/>
  <c r="H66" i="13"/>
  <c r="H93" i="13"/>
  <c r="H127" i="13"/>
  <c r="H109" i="13" l="1"/>
  <c r="H85" i="13"/>
  <c r="P85" i="13" l="1"/>
  <c r="Q85" i="13" s="1"/>
  <c r="P84" i="13"/>
  <c r="Q84" i="13" s="1"/>
  <c r="P121" i="13"/>
  <c r="Q121" i="13" s="1"/>
  <c r="P125" i="13"/>
  <c r="P124" i="13"/>
  <c r="Q123" i="13"/>
  <c r="P123" i="13"/>
  <c r="Q122" i="13"/>
  <c r="P122" i="13"/>
  <c r="P120" i="13"/>
  <c r="Q120" i="13" s="1"/>
  <c r="I150" i="13" l="1"/>
  <c r="I148" i="13"/>
  <c r="I144" i="13"/>
  <c r="H150" i="13"/>
  <c r="I154" i="13"/>
  <c r="N121" i="13"/>
  <c r="P119" i="13"/>
  <c r="Q119" i="13" s="1"/>
  <c r="H118" i="13"/>
  <c r="H119" i="13"/>
  <c r="N125" i="13" l="1"/>
  <c r="P41" i="13"/>
  <c r="Q41" i="13" s="1"/>
  <c r="N41" i="13"/>
  <c r="P40" i="13" l="1"/>
  <c r="N40" i="13"/>
  <c r="L40" i="13"/>
  <c r="Q40" i="13" l="1"/>
  <c r="P44" i="13"/>
  <c r="Q44" i="13" s="1"/>
  <c r="L41" i="13"/>
  <c r="P42" i="13"/>
  <c r="N119" i="13" l="1"/>
  <c r="L119" i="13"/>
  <c r="N85" i="13" l="1"/>
  <c r="N84" i="13"/>
  <c r="N124" i="13"/>
  <c r="N123" i="13"/>
  <c r="N122" i="13"/>
  <c r="N120" i="13"/>
  <c r="N42" i="13" l="1"/>
  <c r="Q42" i="13" s="1"/>
  <c r="P8" i="13" l="1"/>
  <c r="N7" i="13"/>
  <c r="N8" i="13"/>
  <c r="L8" i="13"/>
  <c r="S8" i="13" l="1"/>
  <c r="N13" i="13"/>
  <c r="P118" i="13" l="1"/>
  <c r="N118" i="13"/>
  <c r="L118" i="13"/>
  <c r="N116" i="13"/>
  <c r="N109" i="13"/>
  <c r="P116" i="13"/>
  <c r="L116" i="13"/>
  <c r="Q116" i="13" l="1"/>
  <c r="Q118" i="13"/>
  <c r="H88" i="13"/>
  <c r="P112" i="13" l="1"/>
  <c r="N112" i="13"/>
  <c r="N90" i="13" l="1"/>
  <c r="P90" i="13"/>
  <c r="L90" i="13"/>
  <c r="S90" i="13" l="1"/>
  <c r="Q90" i="13"/>
  <c r="H141" i="13"/>
  <c r="N61" i="13"/>
  <c r="L61" i="13"/>
  <c r="P114" i="13"/>
  <c r="N114" i="13"/>
  <c r="L114" i="13"/>
  <c r="L127" i="13" s="1"/>
  <c r="P113" i="13"/>
  <c r="N113" i="13"/>
  <c r="L113" i="13"/>
  <c r="Q112" i="13"/>
  <c r="L112" i="13"/>
  <c r="P110" i="13"/>
  <c r="N110" i="13"/>
  <c r="L110" i="13"/>
  <c r="P109" i="13"/>
  <c r="L109" i="13"/>
  <c r="P91" i="13"/>
  <c r="N91" i="13"/>
  <c r="L91" i="13"/>
  <c r="P89" i="13"/>
  <c r="N89" i="13"/>
  <c r="L89" i="13"/>
  <c r="P88" i="13"/>
  <c r="N88" i="13"/>
  <c r="L88" i="13"/>
  <c r="Q109" i="13"/>
  <c r="P14" i="13"/>
  <c r="I141" i="13"/>
  <c r="I156" i="13" s="1"/>
  <c r="P19" i="13"/>
  <c r="N19" i="13"/>
  <c r="L19" i="13"/>
  <c r="P16" i="13"/>
  <c r="N16" i="13"/>
  <c r="L16" i="13"/>
  <c r="L2" i="15"/>
  <c r="M2" i="15"/>
  <c r="K2" i="15"/>
  <c r="G116" i="15"/>
  <c r="H116" i="15"/>
  <c r="P116" i="15" s="1"/>
  <c r="P135" i="15" s="1"/>
  <c r="L181" i="15"/>
  <c r="N181" i="15"/>
  <c r="P170" i="15"/>
  <c r="P169" i="15"/>
  <c r="F147" i="15"/>
  <c r="N143" i="15"/>
  <c r="L143" i="15"/>
  <c r="N142" i="15"/>
  <c r="L142" i="15"/>
  <c r="N141" i="15"/>
  <c r="L141" i="15"/>
  <c r="N140" i="15"/>
  <c r="L140" i="15"/>
  <c r="N139" i="15"/>
  <c r="L139" i="15"/>
  <c r="L144" i="15"/>
  <c r="N138" i="15"/>
  <c r="N144" i="15"/>
  <c r="L138" i="15"/>
  <c r="I135" i="15"/>
  <c r="I153" i="15"/>
  <c r="P134" i="15"/>
  <c r="N134" i="15"/>
  <c r="L134" i="15"/>
  <c r="P133" i="15"/>
  <c r="N133" i="15"/>
  <c r="L133" i="15"/>
  <c r="P132" i="15"/>
  <c r="N132" i="15"/>
  <c r="Q132" i="15"/>
  <c r="L132" i="15"/>
  <c r="P131" i="15"/>
  <c r="N131" i="15"/>
  <c r="N135" i="15"/>
  <c r="L131" i="15"/>
  <c r="N130" i="15"/>
  <c r="L130" i="15"/>
  <c r="H130" i="15"/>
  <c r="P130" i="15"/>
  <c r="Q130" i="15"/>
  <c r="P129" i="15"/>
  <c r="Q129" i="15"/>
  <c r="N129" i="15"/>
  <c r="L129" i="15"/>
  <c r="P128" i="15"/>
  <c r="Q128" i="15"/>
  <c r="N128" i="15"/>
  <c r="L128" i="15"/>
  <c r="P127" i="15"/>
  <c r="Q127" i="15"/>
  <c r="N127" i="15"/>
  <c r="L127" i="15"/>
  <c r="P126" i="15"/>
  <c r="Q126" i="15"/>
  <c r="N126" i="15"/>
  <c r="L126" i="15"/>
  <c r="P125" i="15"/>
  <c r="Q125" i="15"/>
  <c r="N125" i="15"/>
  <c r="L125" i="15"/>
  <c r="P124" i="15"/>
  <c r="Q124" i="15"/>
  <c r="N124" i="15"/>
  <c r="L124" i="15"/>
  <c r="P123" i="15"/>
  <c r="Q123" i="15"/>
  <c r="N123" i="15"/>
  <c r="L123" i="15"/>
  <c r="P122" i="15"/>
  <c r="Q122" i="15"/>
  <c r="N122" i="15"/>
  <c r="L122" i="15"/>
  <c r="P121" i="15"/>
  <c r="Q121" i="15"/>
  <c r="N121" i="15"/>
  <c r="L121" i="15"/>
  <c r="L135" i="15"/>
  <c r="L153" i="15"/>
  <c r="P120" i="15"/>
  <c r="Q120" i="15"/>
  <c r="N120" i="15"/>
  <c r="L120" i="15"/>
  <c r="P119" i="15"/>
  <c r="Q119" i="15"/>
  <c r="N119" i="15"/>
  <c r="L119" i="15"/>
  <c r="P117" i="15"/>
  <c r="Q117" i="15"/>
  <c r="N117" i="15"/>
  <c r="L117" i="15"/>
  <c r="N116" i="15"/>
  <c r="L116" i="15"/>
  <c r="N114" i="15"/>
  <c r="L114" i="15"/>
  <c r="L113" i="15"/>
  <c r="P112" i="15"/>
  <c r="Q112" i="15"/>
  <c r="N112" i="15"/>
  <c r="L112" i="15"/>
  <c r="P111" i="15"/>
  <c r="N111" i="15"/>
  <c r="L111" i="15"/>
  <c r="N110" i="15"/>
  <c r="L110" i="15"/>
  <c r="F106" i="15"/>
  <c r="N102" i="15"/>
  <c r="L102" i="15"/>
  <c r="N101" i="15"/>
  <c r="L101" i="15"/>
  <c r="N100" i="15"/>
  <c r="L100" i="15"/>
  <c r="N99" i="15"/>
  <c r="L99" i="15"/>
  <c r="N98" i="15"/>
  <c r="L98" i="15"/>
  <c r="N97" i="15"/>
  <c r="L97" i="15"/>
  <c r="I94" i="15"/>
  <c r="I152" i="15"/>
  <c r="H94" i="15"/>
  <c r="H152" i="15"/>
  <c r="P93" i="15"/>
  <c r="Q93" i="15"/>
  <c r="N93" i="15"/>
  <c r="L93" i="15"/>
  <c r="P92" i="15"/>
  <c r="Q92" i="15"/>
  <c r="N92" i="15"/>
  <c r="L92" i="15"/>
  <c r="P91" i="15"/>
  <c r="Q91" i="15"/>
  <c r="N91" i="15"/>
  <c r="L91" i="15"/>
  <c r="P89" i="15"/>
  <c r="Q89" i="15"/>
  <c r="N89" i="15"/>
  <c r="L89" i="15"/>
  <c r="N88" i="15"/>
  <c r="L88" i="15"/>
  <c r="P86" i="15"/>
  <c r="N86" i="15"/>
  <c r="Q86" i="15"/>
  <c r="L86" i="15"/>
  <c r="L94" i="15"/>
  <c r="L152" i="15"/>
  <c r="F81" i="15"/>
  <c r="N77" i="15"/>
  <c r="L77" i="15"/>
  <c r="N76" i="15"/>
  <c r="L76" i="15"/>
  <c r="N75" i="15"/>
  <c r="L75" i="15"/>
  <c r="N74" i="15"/>
  <c r="L74" i="15"/>
  <c r="N73" i="15"/>
  <c r="L73" i="15"/>
  <c r="N72" i="15"/>
  <c r="L72" i="15"/>
  <c r="L78" i="15"/>
  <c r="I69" i="15"/>
  <c r="I151" i="15"/>
  <c r="H151" i="15"/>
  <c r="G151" i="15"/>
  <c r="P68" i="15"/>
  <c r="N68" i="15"/>
  <c r="Q68" i="15"/>
  <c r="L68" i="15"/>
  <c r="N67" i="15"/>
  <c r="L67" i="15"/>
  <c r="P66" i="15"/>
  <c r="Q66" i="15"/>
  <c r="N66" i="15"/>
  <c r="L66" i="15"/>
  <c r="N64" i="15"/>
  <c r="L64" i="15"/>
  <c r="N63" i="15"/>
  <c r="L63" i="15"/>
  <c r="H63" i="15"/>
  <c r="H69" i="15"/>
  <c r="P63" i="15"/>
  <c r="Q63" i="15"/>
  <c r="P61" i="15"/>
  <c r="N61" i="15"/>
  <c r="L61" i="15"/>
  <c r="L69" i="15"/>
  <c r="L151" i="15"/>
  <c r="P60" i="15"/>
  <c r="N60" i="15"/>
  <c r="L60" i="15"/>
  <c r="F55" i="15"/>
  <c r="N51" i="15"/>
  <c r="L51" i="15"/>
  <c r="N50" i="15"/>
  <c r="L50" i="15"/>
  <c r="N49" i="15"/>
  <c r="L49" i="15"/>
  <c r="N48" i="15"/>
  <c r="L48" i="15"/>
  <c r="N47" i="15"/>
  <c r="N52" i="15"/>
  <c r="L47" i="15"/>
  <c r="N46" i="15"/>
  <c r="L46" i="15"/>
  <c r="L52" i="15"/>
  <c r="I43" i="15"/>
  <c r="I150" i="15"/>
  <c r="H43" i="15"/>
  <c r="H150" i="15"/>
  <c r="P42" i="15"/>
  <c r="N42" i="15"/>
  <c r="L42" i="15"/>
  <c r="P41" i="15"/>
  <c r="Q41" i="15"/>
  <c r="N41" i="15"/>
  <c r="L41" i="15"/>
  <c r="P40" i="15"/>
  <c r="Q40" i="15"/>
  <c r="N40" i="15"/>
  <c r="L40" i="15"/>
  <c r="P39" i="15"/>
  <c r="N39" i="15"/>
  <c r="L39" i="15"/>
  <c r="P38" i="15"/>
  <c r="N38" i="15"/>
  <c r="Q38" i="15"/>
  <c r="L38" i="15"/>
  <c r="P37" i="15"/>
  <c r="N37" i="15"/>
  <c r="Q37" i="15"/>
  <c r="L37" i="15"/>
  <c r="L43" i="15"/>
  <c r="L150" i="15"/>
  <c r="F32" i="15"/>
  <c r="N28" i="15"/>
  <c r="L28" i="15"/>
  <c r="N27" i="15"/>
  <c r="L27" i="15"/>
  <c r="N26" i="15"/>
  <c r="L26" i="15"/>
  <c r="N25" i="15"/>
  <c r="L25" i="15"/>
  <c r="N24" i="15"/>
  <c r="L24" i="15"/>
  <c r="N23" i="15"/>
  <c r="L23" i="15"/>
  <c r="I20" i="15"/>
  <c r="I149" i="15"/>
  <c r="G149" i="15"/>
  <c r="H20" i="15"/>
  <c r="H149" i="15"/>
  <c r="N18" i="15"/>
  <c r="L18" i="15"/>
  <c r="P17" i="15"/>
  <c r="Q17" i="15"/>
  <c r="N17" i="15"/>
  <c r="L17" i="15"/>
  <c r="P15" i="15"/>
  <c r="Q15" i="15"/>
  <c r="N15" i="15"/>
  <c r="L15" i="15"/>
  <c r="P14" i="15"/>
  <c r="Q14" i="15"/>
  <c r="N14" i="15"/>
  <c r="L14" i="15"/>
  <c r="H14" i="15"/>
  <c r="P13" i="15"/>
  <c r="Q13" i="15"/>
  <c r="N13" i="15"/>
  <c r="L13" i="15"/>
  <c r="P12" i="15"/>
  <c r="N12" i="15"/>
  <c r="L12" i="15"/>
  <c r="P11" i="15"/>
  <c r="Q11" i="15"/>
  <c r="N11" i="15"/>
  <c r="L11" i="15"/>
  <c r="P10" i="15"/>
  <c r="N10" i="15"/>
  <c r="L10" i="15"/>
  <c r="L20" i="15"/>
  <c r="L149" i="15"/>
  <c r="P9" i="15"/>
  <c r="N9" i="15"/>
  <c r="L9" i="15"/>
  <c r="P8" i="15"/>
  <c r="N8" i="15"/>
  <c r="L8" i="15"/>
  <c r="P7" i="15"/>
  <c r="N7" i="15"/>
  <c r="L7" i="15"/>
  <c r="P86" i="13"/>
  <c r="P83" i="13"/>
  <c r="P65" i="13"/>
  <c r="P66" i="13" s="1"/>
  <c r="Q66" i="13" s="1"/>
  <c r="P64" i="13"/>
  <c r="P62" i="13"/>
  <c r="P61" i="13"/>
  <c r="P43" i="13"/>
  <c r="P38" i="13"/>
  <c r="P37" i="13"/>
  <c r="P18" i="13"/>
  <c r="P17" i="13"/>
  <c r="P13" i="13"/>
  <c r="P12" i="13"/>
  <c r="P11" i="13"/>
  <c r="P10" i="13"/>
  <c r="P9" i="13"/>
  <c r="P7" i="13"/>
  <c r="F139" i="13"/>
  <c r="F105" i="13"/>
  <c r="F78" i="13"/>
  <c r="F56" i="13"/>
  <c r="F32" i="13"/>
  <c r="H144" i="13"/>
  <c r="P63" i="13"/>
  <c r="H148" i="13"/>
  <c r="P15" i="13"/>
  <c r="N65" i="13"/>
  <c r="L65" i="13"/>
  <c r="N135" i="13"/>
  <c r="L135" i="13"/>
  <c r="N134" i="13"/>
  <c r="L134" i="13"/>
  <c r="N133" i="13"/>
  <c r="L133" i="13"/>
  <c r="N132" i="13"/>
  <c r="L132" i="13"/>
  <c r="N131" i="13"/>
  <c r="L131" i="13"/>
  <c r="N130" i="13"/>
  <c r="L130" i="13"/>
  <c r="N101" i="13"/>
  <c r="L101" i="13"/>
  <c r="N100" i="13"/>
  <c r="L100" i="13"/>
  <c r="N99" i="13"/>
  <c r="L99" i="13"/>
  <c r="N98" i="13"/>
  <c r="L98" i="13"/>
  <c r="N97" i="13"/>
  <c r="L97" i="13"/>
  <c r="N96" i="13"/>
  <c r="N102" i="13" s="1"/>
  <c r="L96" i="13"/>
  <c r="N86" i="13"/>
  <c r="L86" i="13"/>
  <c r="N83" i="13"/>
  <c r="L83" i="13"/>
  <c r="N74" i="13"/>
  <c r="L74" i="13"/>
  <c r="N73" i="13"/>
  <c r="L73" i="13"/>
  <c r="N72" i="13"/>
  <c r="L72" i="13"/>
  <c r="N71" i="13"/>
  <c r="L71" i="13"/>
  <c r="N70" i="13"/>
  <c r="L70" i="13"/>
  <c r="N69" i="13"/>
  <c r="L69" i="13"/>
  <c r="N64" i="13"/>
  <c r="L64" i="13"/>
  <c r="N63" i="13"/>
  <c r="L63" i="13"/>
  <c r="N62" i="13"/>
  <c r="L62" i="13"/>
  <c r="N52" i="13"/>
  <c r="L52" i="13"/>
  <c r="N51" i="13"/>
  <c r="L51" i="13"/>
  <c r="N50" i="13"/>
  <c r="L50" i="13"/>
  <c r="N49" i="13"/>
  <c r="L49" i="13"/>
  <c r="N48" i="13"/>
  <c r="N53" i="13" s="1"/>
  <c r="L48" i="13"/>
  <c r="N47" i="13"/>
  <c r="L47" i="13"/>
  <c r="N43" i="13"/>
  <c r="L43" i="13"/>
  <c r="N38" i="13"/>
  <c r="L38" i="13"/>
  <c r="N37" i="13"/>
  <c r="L37" i="13"/>
  <c r="N28" i="13"/>
  <c r="L28" i="13"/>
  <c r="N27" i="13"/>
  <c r="L27" i="13"/>
  <c r="N26" i="13"/>
  <c r="L26" i="13"/>
  <c r="N25" i="13"/>
  <c r="L25" i="13"/>
  <c r="N24" i="13"/>
  <c r="L24" i="13"/>
  <c r="N23" i="13"/>
  <c r="N29" i="13" s="1"/>
  <c r="L23" i="13"/>
  <c r="N18" i="13"/>
  <c r="L18" i="13"/>
  <c r="N17" i="13"/>
  <c r="L17" i="13"/>
  <c r="N15" i="13"/>
  <c r="L15" i="13"/>
  <c r="N14" i="13"/>
  <c r="L14" i="13"/>
  <c r="L13" i="13"/>
  <c r="N12" i="13"/>
  <c r="L12" i="13"/>
  <c r="N11" i="13"/>
  <c r="L11" i="13"/>
  <c r="N10" i="13"/>
  <c r="L10" i="13"/>
  <c r="N9" i="13"/>
  <c r="L9" i="13"/>
  <c r="L7" i="13"/>
  <c r="G90" i="12"/>
  <c r="G42" i="12"/>
  <c r="G19" i="12"/>
  <c r="L36" i="12"/>
  <c r="J36" i="12"/>
  <c r="J42" i="12"/>
  <c r="J146" i="12"/>
  <c r="L37" i="12"/>
  <c r="J37" i="12"/>
  <c r="G67" i="12"/>
  <c r="L88" i="12"/>
  <c r="J88" i="12"/>
  <c r="J130" i="12"/>
  <c r="J129" i="12"/>
  <c r="G131" i="12"/>
  <c r="L130" i="12"/>
  <c r="L38" i="12"/>
  <c r="J38" i="12"/>
  <c r="L129" i="12"/>
  <c r="L139" i="12"/>
  <c r="J139" i="12"/>
  <c r="L138" i="12"/>
  <c r="J138" i="12"/>
  <c r="L137" i="12"/>
  <c r="J137" i="12"/>
  <c r="L136" i="12"/>
  <c r="J136" i="12"/>
  <c r="L135" i="12"/>
  <c r="L140" i="12"/>
  <c r="J135" i="12"/>
  <c r="J140" i="12"/>
  <c r="L134" i="12"/>
  <c r="J134" i="12"/>
  <c r="L128" i="12"/>
  <c r="J128" i="12"/>
  <c r="L127" i="12"/>
  <c r="J127" i="12"/>
  <c r="L126" i="12"/>
  <c r="J126" i="12"/>
  <c r="L125" i="12"/>
  <c r="J125" i="12"/>
  <c r="L124" i="12"/>
  <c r="J124" i="12"/>
  <c r="L123" i="12"/>
  <c r="J123" i="12"/>
  <c r="L122" i="12"/>
  <c r="J122" i="12"/>
  <c r="L121" i="12"/>
  <c r="J121" i="12"/>
  <c r="L120" i="12"/>
  <c r="J120" i="12"/>
  <c r="L119" i="12"/>
  <c r="J119" i="12"/>
  <c r="L118" i="12"/>
  <c r="J118" i="12"/>
  <c r="L117" i="12"/>
  <c r="J117" i="12"/>
  <c r="L116" i="12"/>
  <c r="J116" i="12"/>
  <c r="L115" i="12"/>
  <c r="J115" i="12"/>
  <c r="L113" i="12"/>
  <c r="J113" i="12"/>
  <c r="L112" i="12"/>
  <c r="J112" i="12"/>
  <c r="L110" i="12"/>
  <c r="J110" i="12"/>
  <c r="J109" i="12"/>
  <c r="L107" i="12"/>
  <c r="J107" i="12"/>
  <c r="L106" i="12"/>
  <c r="J106" i="12"/>
  <c r="L98" i="12"/>
  <c r="J98" i="12"/>
  <c r="L97" i="12"/>
  <c r="J97" i="12"/>
  <c r="L96" i="12"/>
  <c r="J96" i="12"/>
  <c r="L95" i="12"/>
  <c r="J95" i="12"/>
  <c r="L94" i="12"/>
  <c r="J94" i="12"/>
  <c r="L93" i="12"/>
  <c r="L99" i="12"/>
  <c r="J93" i="12"/>
  <c r="L89" i="12"/>
  <c r="J89" i="12"/>
  <c r="L86" i="12"/>
  <c r="J86" i="12"/>
  <c r="L85" i="12"/>
  <c r="J85" i="12"/>
  <c r="L84" i="12"/>
  <c r="L90" i="12"/>
  <c r="L148" i="12"/>
  <c r="J84" i="12"/>
  <c r="J90" i="12"/>
  <c r="J148" i="12"/>
  <c r="L75" i="12"/>
  <c r="J75" i="12"/>
  <c r="L74" i="12"/>
  <c r="J74" i="12"/>
  <c r="L73" i="12"/>
  <c r="J73" i="12"/>
  <c r="L72" i="12"/>
  <c r="J72" i="12"/>
  <c r="L71" i="12"/>
  <c r="J71" i="12"/>
  <c r="L70" i="12"/>
  <c r="J70" i="12"/>
  <c r="J76" i="12"/>
  <c r="L66" i="12"/>
  <c r="J66" i="12"/>
  <c r="L65" i="12"/>
  <c r="J65" i="12"/>
  <c r="L63" i="12"/>
  <c r="J63" i="12"/>
  <c r="L62" i="12"/>
  <c r="J62" i="12"/>
  <c r="L60" i="12"/>
  <c r="L67" i="12"/>
  <c r="J60" i="12"/>
  <c r="J67" i="12"/>
  <c r="J147" i="12"/>
  <c r="L59" i="12"/>
  <c r="J59" i="12"/>
  <c r="L50" i="12"/>
  <c r="J50" i="12"/>
  <c r="L49" i="12"/>
  <c r="J49" i="12"/>
  <c r="L48" i="12"/>
  <c r="J48" i="12"/>
  <c r="L47" i="12"/>
  <c r="J47" i="12"/>
  <c r="L46" i="12"/>
  <c r="J46" i="12"/>
  <c r="L45" i="12"/>
  <c r="L51" i="12"/>
  <c r="J45" i="12"/>
  <c r="L41" i="12"/>
  <c r="J41" i="12"/>
  <c r="L40" i="12"/>
  <c r="J40" i="12"/>
  <c r="L39" i="12"/>
  <c r="J39" i="12"/>
  <c r="L27" i="12"/>
  <c r="J27" i="12"/>
  <c r="L26" i="12"/>
  <c r="J26" i="12"/>
  <c r="L25" i="12"/>
  <c r="J25" i="12"/>
  <c r="L24" i="12"/>
  <c r="J24" i="12"/>
  <c r="L23" i="12"/>
  <c r="L28" i="12"/>
  <c r="J23" i="12"/>
  <c r="L22" i="12"/>
  <c r="J22" i="12"/>
  <c r="J28" i="12"/>
  <c r="L17" i="12"/>
  <c r="J17" i="12"/>
  <c r="L16" i="12"/>
  <c r="J16" i="12"/>
  <c r="L14" i="12"/>
  <c r="J14" i="12"/>
  <c r="L13" i="12"/>
  <c r="J13" i="12"/>
  <c r="L12" i="12"/>
  <c r="L19" i="12"/>
  <c r="L145" i="12"/>
  <c r="L150" i="12"/>
  <c r="J12" i="12"/>
  <c r="L11" i="12"/>
  <c r="J11" i="12"/>
  <c r="L10" i="12"/>
  <c r="J10" i="12"/>
  <c r="L9" i="12"/>
  <c r="J9" i="12"/>
  <c r="L8" i="12"/>
  <c r="J8" i="12"/>
  <c r="L7" i="12"/>
  <c r="J7" i="12"/>
  <c r="L6" i="12"/>
  <c r="J6" i="12"/>
  <c r="J19" i="12"/>
  <c r="J145" i="12"/>
  <c r="J150" i="12"/>
  <c r="R114" i="1"/>
  <c r="R112" i="1"/>
  <c r="R103" i="1"/>
  <c r="N97" i="1"/>
  <c r="N120" i="1"/>
  <c r="R120" i="1"/>
  <c r="N77" i="1"/>
  <c r="N54" i="1"/>
  <c r="N34" i="1"/>
  <c r="N4" i="1"/>
  <c r="N6" i="1"/>
  <c r="J51" i="12"/>
  <c r="L147" i="12"/>
  <c r="J131" i="12"/>
  <c r="J149" i="12"/>
  <c r="Q133" i="15"/>
  <c r="Q134" i="15"/>
  <c r="L103" i="15"/>
  <c r="N103" i="15"/>
  <c r="G150" i="15"/>
  <c r="Q61" i="15"/>
  <c r="Q10" i="15"/>
  <c r="N20" i="15"/>
  <c r="N149" i="15"/>
  <c r="Q9" i="15"/>
  <c r="N29" i="15"/>
  <c r="Q39" i="15"/>
  <c r="Q8" i="15"/>
  <c r="Q12" i="15"/>
  <c r="Q42" i="15"/>
  <c r="Q60" i="15"/>
  <c r="N78" i="15"/>
  <c r="Q7" i="15"/>
  <c r="Q111" i="15"/>
  <c r="I2" i="15"/>
  <c r="P43" i="15"/>
  <c r="N153" i="15"/>
  <c r="N168" i="15"/>
  <c r="N171" i="15"/>
  <c r="N154" i="15"/>
  <c r="P69" i="15"/>
  <c r="Q69" i="15"/>
  <c r="L131" i="12"/>
  <c r="L42" i="12"/>
  <c r="L146" i="12"/>
  <c r="P94" i="15"/>
  <c r="G152" i="15"/>
  <c r="Q131" i="15"/>
  <c r="G1" i="12"/>
  <c r="L29" i="15"/>
  <c r="N43" i="15"/>
  <c r="N150" i="15"/>
  <c r="N69" i="15"/>
  <c r="N151" i="15"/>
  <c r="L76" i="12"/>
  <c r="J99" i="12"/>
  <c r="P20" i="15"/>
  <c r="Q20" i="15"/>
  <c r="L154" i="15"/>
  <c r="N94" i="15"/>
  <c r="N152" i="15"/>
  <c r="R97" i="1"/>
  <c r="Q94" i="15"/>
  <c r="L149" i="12"/>
  <c r="L164" i="12"/>
  <c r="L167" i="12"/>
  <c r="Q43" i="15"/>
  <c r="H154" i="13"/>
  <c r="H156" i="13" l="1"/>
  <c r="F156" i="13" s="1"/>
  <c r="Q127" i="13"/>
  <c r="S17" i="13"/>
  <c r="S16" i="13"/>
  <c r="S89" i="13"/>
  <c r="S86" i="13"/>
  <c r="S9" i="13"/>
  <c r="S13" i="13"/>
  <c r="S38" i="13"/>
  <c r="S91" i="13"/>
  <c r="T91" i="13" s="1"/>
  <c r="S83" i="13"/>
  <c r="S88" i="13"/>
  <c r="Q43" i="13"/>
  <c r="U17" i="13"/>
  <c r="L20" i="13"/>
  <c r="L141" i="13" s="1"/>
  <c r="G148" i="13"/>
  <c r="S11" i="13"/>
  <c r="S18" i="13"/>
  <c r="S14" i="13"/>
  <c r="Q19" i="13"/>
  <c r="S19" i="13"/>
  <c r="S15" i="13"/>
  <c r="S10" i="13"/>
  <c r="Q9" i="13"/>
  <c r="L29" i="13"/>
  <c r="L93" i="13"/>
  <c r="L150" i="13" s="1"/>
  <c r="L136" i="13"/>
  <c r="Q63" i="13"/>
  <c r="S7" i="13"/>
  <c r="V17" i="13"/>
  <c r="S12" i="13"/>
  <c r="Q7" i="13"/>
  <c r="Q12" i="13"/>
  <c r="Q15" i="13"/>
  <c r="H135" i="15"/>
  <c r="H153" i="15" s="1"/>
  <c r="G153" i="15" s="1"/>
  <c r="Q62" i="13"/>
  <c r="Q86" i="13"/>
  <c r="Q18" i="13"/>
  <c r="Q110" i="13"/>
  <c r="L154" i="13"/>
  <c r="N148" i="13"/>
  <c r="G154" i="13"/>
  <c r="N20" i="13"/>
  <c r="L66" i="13"/>
  <c r="L148" i="13" s="1"/>
  <c r="N75" i="13"/>
  <c r="N150" i="13"/>
  <c r="L75" i="13"/>
  <c r="N136" i="13"/>
  <c r="Q65" i="13"/>
  <c r="G144" i="13"/>
  <c r="Q13" i="13"/>
  <c r="Q38" i="13"/>
  <c r="Q64" i="13"/>
  <c r="Q88" i="13"/>
  <c r="Q113" i="13"/>
  <c r="L44" i="13"/>
  <c r="L144" i="13" s="1"/>
  <c r="L53" i="13"/>
  <c r="L102" i="13"/>
  <c r="Q10" i="13"/>
  <c r="Q16" i="13"/>
  <c r="Q61" i="13"/>
  <c r="G141" i="13"/>
  <c r="N144" i="13"/>
  <c r="Q17" i="13"/>
  <c r="Q83" i="13"/>
  <c r="Q11" i="13"/>
  <c r="Q91" i="13"/>
  <c r="Q14" i="13"/>
  <c r="Q89" i="13"/>
  <c r="Q114" i="13"/>
  <c r="N154" i="13"/>
  <c r="G150" i="13"/>
  <c r="Q135" i="15"/>
  <c r="P168" i="15"/>
  <c r="P171" i="15" s="1"/>
  <c r="Q116" i="15"/>
  <c r="Q37" i="13"/>
  <c r="P20" i="13"/>
  <c r="T89" i="13" l="1"/>
  <c r="N141" i="13"/>
  <c r="N156" i="13" s="1"/>
  <c r="T19" i="13"/>
  <c r="T17" i="13"/>
  <c r="Q20" i="13"/>
  <c r="L156" i="13"/>
  <c r="Q93" i="13"/>
  <c r="N157" i="13" l="1"/>
</calcChain>
</file>

<file path=xl/sharedStrings.xml><?xml version="1.0" encoding="utf-8"?>
<sst xmlns="http://schemas.openxmlformats.org/spreadsheetml/2006/main" count="2574" uniqueCount="487">
  <si>
    <t>TOWNSHIP</t>
  </si>
  <si>
    <t>ROAD NAME</t>
  </si>
  <si>
    <t>ACTIVITY</t>
  </si>
  <si>
    <t>UNIT PRICE</t>
  </si>
  <si>
    <t>AMOUNT</t>
  </si>
  <si>
    <t>Summit</t>
  </si>
  <si>
    <t>TERMINI</t>
  </si>
  <si>
    <t>JOB #</t>
  </si>
  <si>
    <t>UNIT</t>
  </si>
  <si>
    <t>SYD</t>
  </si>
  <si>
    <t>HMA Mix, 0 - 50 Ton</t>
  </si>
  <si>
    <t>Ton</t>
  </si>
  <si>
    <t>HMA Mix, 51 - 100 Ton</t>
  </si>
  <si>
    <t>HMA Mix, 101 - 200 Ton</t>
  </si>
  <si>
    <t>Riverton</t>
  </si>
  <si>
    <t>Pere Marquette</t>
  </si>
  <si>
    <t>QTY</t>
  </si>
  <si>
    <t>County Primary Projects</t>
  </si>
  <si>
    <t>LENGTH (mi)</t>
  </si>
  <si>
    <t>HMA Mix, 201 Ton and Greater</t>
  </si>
  <si>
    <t>Sheridan</t>
  </si>
  <si>
    <t>Syd</t>
  </si>
  <si>
    <t>Custer Rd</t>
  </si>
  <si>
    <t xml:space="preserve">Ton </t>
  </si>
  <si>
    <t>LENGTH</t>
  </si>
  <si>
    <t>(mi)</t>
  </si>
  <si>
    <t>HMA LVSP Over Aggregate @ 220 psy at 22' wide</t>
  </si>
  <si>
    <t>Amber</t>
  </si>
  <si>
    <t>Johnson Rd</t>
  </si>
  <si>
    <t>E of Stiles Rd from HMA E'ly to past Cemetary</t>
  </si>
  <si>
    <t>xxx</t>
  </si>
  <si>
    <t>Sherman</t>
  </si>
  <si>
    <t>Branch</t>
  </si>
  <si>
    <t>Custer</t>
  </si>
  <si>
    <t xml:space="preserve">HMA LVSP Over Aggregate @ 220 psy with Valley Gutter at 28' wide </t>
  </si>
  <si>
    <t>Hamlin</t>
  </si>
  <si>
    <t>Kinney Rd</t>
  </si>
  <si>
    <t>HMA 36A Wedge, 6'-7'  wide, at selected locations.</t>
  </si>
  <si>
    <t>Victory Twp</t>
  </si>
  <si>
    <t>Sugar Grove Rd</t>
  </si>
  <si>
    <t>*Coordination with Mason CRC for adding minimum 3" aggregate on entire roadway.  Contractor responsible for initial and  final grade shaping.</t>
  </si>
  <si>
    <t>ACTIVITY / TONNAGE BY SITE</t>
  </si>
  <si>
    <t>Township Projects by Quadrant:      SOUTHWEST (Pere Marquette, Summit and Riverton Townships)</t>
  </si>
  <si>
    <t>Township Projects by Quadrant:      SOUTHEAST (Custer, Eden, Logan and Branch Townships)</t>
  </si>
  <si>
    <t>Township Projects by Quadrant:      NORTHEAST (Free Soil, Sherman, Sheridan and Meade Townships)</t>
  </si>
  <si>
    <t>Township Projects by Quadrant:      NORTHWEST (Hamlin, Amber, Victory and Grant Townships)</t>
  </si>
  <si>
    <t>HMA 36A Wedge, 6'-7'  wide, at selected locations, both lanes.</t>
  </si>
  <si>
    <t>ACTIVITY / TONNAGE  - NORTHWEST QUAD.</t>
  </si>
  <si>
    <t>Note:  Twp Jobs to be awarded per quadrant as a whole.</t>
  </si>
  <si>
    <t>Unnumber Jobs are contingent upon Township approval.</t>
  </si>
  <si>
    <t>7P*</t>
  </si>
  <si>
    <t>Total</t>
  </si>
  <si>
    <t>11P*</t>
  </si>
  <si>
    <t>2019 HMA SURFACING</t>
  </si>
  <si>
    <t>2019 HMA SURFACING (Continued)</t>
  </si>
  <si>
    <t>US-31 to Tuttle Road</t>
  </si>
  <si>
    <t>Stiles Road easterly 2.5 miles toward US-31</t>
  </si>
  <si>
    <t>HMA Over Aggregate @ 330 psy (2 lifts) at 24' wide</t>
  </si>
  <si>
    <t>Amber/Custer</t>
  </si>
  <si>
    <t>Scottville Road</t>
  </si>
  <si>
    <t>Johnson Road N. to US-31</t>
  </si>
  <si>
    <t>HMA Base Crushing and Shaping 2,500 to 5,000</t>
  </si>
  <si>
    <t>HMA Base Crushing and Shaping 5,000 to 10,000</t>
  </si>
  <si>
    <t>1P</t>
  </si>
  <si>
    <t>2P</t>
  </si>
  <si>
    <t>3P</t>
  </si>
  <si>
    <t>* HMA 36A Wedging and/or HMA Project SHALL be completed on or before August 1, 2019</t>
  </si>
  <si>
    <t>S. Lakeshore Dr</t>
  </si>
  <si>
    <t>Consumers Power Bridge N. 600'</t>
  </si>
  <si>
    <t>Rasmussen</t>
  </si>
  <si>
    <t>Jebavy Drive E. 2,500'</t>
  </si>
  <si>
    <t>Conrad to Wilson Road</t>
  </si>
  <si>
    <t>HMA 36A Wedge, 8'-9'  wide w/LG, at selected locations, both lanes.</t>
  </si>
  <si>
    <t>HMA 36A Wedge, 12'-13'  wide w/LG, both lanes.</t>
  </si>
  <si>
    <t>Chauvez to Hawley</t>
  </si>
  <si>
    <t>4P</t>
  </si>
  <si>
    <t xml:space="preserve">Note: Pricing my be considered for award </t>
  </si>
  <si>
    <t>Each</t>
  </si>
  <si>
    <t>8P*</t>
  </si>
  <si>
    <t>Hawley Road</t>
  </si>
  <si>
    <t>1/4 mile W of Morton E. to Stiles</t>
  </si>
  <si>
    <t>Conrad Road</t>
  </si>
  <si>
    <t>PM Highway to Meyers Road</t>
  </si>
  <si>
    <t>051</t>
  </si>
  <si>
    <t>052</t>
  </si>
  <si>
    <t>PM Highway to Brye</t>
  </si>
  <si>
    <t>053</t>
  </si>
  <si>
    <t>Orchard Avenue</t>
  </si>
  <si>
    <t>PM &amp; Summit</t>
  </si>
  <si>
    <t>North Lakeshore Drive to N. Terri Ct</t>
  </si>
  <si>
    <t>054</t>
  </si>
  <si>
    <t>Palmer Blvd &amp; W. Snead Dr.</t>
  </si>
  <si>
    <t>Chauvez to Snead then End to End on Snead</t>
  </si>
  <si>
    <t>055</t>
  </si>
  <si>
    <t>Russell Street</t>
  </si>
  <si>
    <t>Washington Avenue to Gary Street</t>
  </si>
  <si>
    <t>HMA Overlay @ 165 #/syd over entire roadway</t>
  </si>
  <si>
    <t>056</t>
  </si>
  <si>
    <t>Gary Street</t>
  </si>
  <si>
    <t>Bryant to Russell</t>
  </si>
  <si>
    <t>057</t>
  </si>
  <si>
    <t>Ellis Street</t>
  </si>
  <si>
    <t>Russell Street to Eli Street</t>
  </si>
  <si>
    <t>058</t>
  </si>
  <si>
    <t>Lendale, Eli, Lunette</t>
  </si>
  <si>
    <t>Lendale from Lunette to Ivanhoe, Eli from Ellis to Cul-de-sac, Lunette from Ellis to Lendale</t>
  </si>
  <si>
    <t>XXX</t>
  </si>
  <si>
    <t>Olmstead Road</t>
  </si>
  <si>
    <t>East of Lakeshore Drive</t>
  </si>
  <si>
    <t>From existing HMA Easterly 190' HMA over gravel @ 220#/syd</t>
  </si>
  <si>
    <t>MCRC will need to undercut, place sand, gravel &amp; grade prior to HMA</t>
  </si>
  <si>
    <t xml:space="preserve">Hogenson/Bradshaw </t>
  </si>
  <si>
    <t>From Chauvez Road to New HMA</t>
  </si>
  <si>
    <t>HMA Leveling @ 165 #/syd over entire roadway</t>
  </si>
  <si>
    <t>Washington Road</t>
  </si>
  <si>
    <t>Stiles Easterly to Top of Hill</t>
  </si>
  <si>
    <t>MCRC will need to widen and place 3" of gravel prior to HMA</t>
  </si>
  <si>
    <t>HMA Over Gravel @ 220 #/syd over entire roadway 22'</t>
  </si>
  <si>
    <t>HMA LVSP or 5E1, Wedging Over Aggregate Shoulder at 6-7' wide and HMA Overlay @ 165#/Syd @ 12' wide (Est. 800 ton wedge &amp; 2,900 Overlay)</t>
  </si>
  <si>
    <r>
      <rPr>
        <u/>
        <sz val="14"/>
        <rFont val="Arial"/>
        <family val="2"/>
      </rPr>
      <t>*Optional</t>
    </r>
    <r>
      <rPr>
        <sz val="14"/>
        <rFont val="Arial"/>
        <family val="2"/>
      </rPr>
      <t xml:space="preserve"> - Cold-Mill HMA Butt Joints (50' at each end - 2" to 0")</t>
    </r>
  </si>
  <si>
    <t>5P</t>
  </si>
  <si>
    <t>US-31 (NB)</t>
  </si>
  <si>
    <t>HMA 5E3 Overlay @ 170 #/syd</t>
  </si>
  <si>
    <t>220' N of Beyer Rd. CL continuing S. for 4,200 Lft (12' wide)</t>
  </si>
  <si>
    <t>6P</t>
  </si>
  <si>
    <t>Freesoil</t>
  </si>
  <si>
    <t>US-31 (SB)</t>
  </si>
  <si>
    <t>S. of Townline then North 5,000 Lft just S of Freeman (12' wide)</t>
  </si>
  <si>
    <t>9P*</t>
  </si>
  <si>
    <t>10P*</t>
  </si>
  <si>
    <r>
      <rPr>
        <u/>
        <sz val="14"/>
        <rFont val="Arial"/>
        <family val="2"/>
      </rPr>
      <t>*Optional</t>
    </r>
    <r>
      <rPr>
        <sz val="14"/>
        <rFont val="Arial"/>
        <family val="2"/>
      </rPr>
      <t xml:space="preserve"> - Cold-Mill HMA Butt Joints (50' at each end - 1.5" to 0")</t>
    </r>
  </si>
  <si>
    <t>HMA LVSP Overlay @ 170 #/syd at 22' wide</t>
  </si>
  <si>
    <t>Dunbar Road</t>
  </si>
  <si>
    <t>Between E. Filburn and Hansen</t>
  </si>
  <si>
    <t>Fountain Road</t>
  </si>
  <si>
    <t>Larson to Schoenher</t>
  </si>
  <si>
    <t>HMA LVSP Overlay @ 165 psy at 22' wide</t>
  </si>
  <si>
    <t>Hughes Road</t>
  </si>
  <si>
    <t>Fountain Road North for 500' to top of Hill</t>
  </si>
  <si>
    <t>Tuttle Road</t>
  </si>
  <si>
    <t xml:space="preserve">Sugar Grove to Dewey Road </t>
  </si>
  <si>
    <t>Meyers Road east to just past Elk Valley Farms</t>
  </si>
  <si>
    <t>HMA 36A Wedge, 6'-7'  wide, at selected locations. 8' to 9' w/LG for 600'</t>
  </si>
  <si>
    <t>HMA LVSP Over Aggregate @ 220 psy at 28'' wide w/LG</t>
  </si>
  <si>
    <t>Gordon Road to west of Bridge</t>
  </si>
  <si>
    <t>MCRC will need to widen and place 5" of gravel prior to HMA</t>
  </si>
  <si>
    <t>Piney Ridge Road</t>
  </si>
  <si>
    <t>M-116 continuing north</t>
  </si>
  <si>
    <t>HMA 36A Wedge, 6'-7'  wide, at selected locations, 1,900' east lane &amp; 2,000' west lane.</t>
  </si>
  <si>
    <t xml:space="preserve">*Coordination with Mason CRC for grading sod &amp; adding aggregate along shoulder as needed.  </t>
  </si>
  <si>
    <t>MCRC will need to widen and add 4" of gravel prior to HMA paving.</t>
  </si>
  <si>
    <t>Chauvez</t>
  </si>
  <si>
    <t>1/4 mile W. of Hogenson to 1/4 mile E. of Hogenson</t>
  </si>
  <si>
    <t>Larson Road</t>
  </si>
  <si>
    <t>Millerton Road to Fountain Road</t>
  </si>
  <si>
    <t>Starting at the top of the big hill at the end of the ex. HMA then 440'</t>
  </si>
  <si>
    <t xml:space="preserve">HMA LVSP Over Aggregate @ 220 psy at 22' wide </t>
  </si>
  <si>
    <t>Popular Road Easterly to Schoenherr Road</t>
  </si>
  <si>
    <t xml:space="preserve">Custer </t>
  </si>
  <si>
    <t xml:space="preserve">Starting at 206 Conrad continuing west for 550' </t>
  </si>
  <si>
    <t>HMA 36A Wedge, 8'-9'  wide w/LG both lanes.</t>
  </si>
  <si>
    <t>Wilson Road</t>
  </si>
  <si>
    <t>starting west of 2888 Wilson Road west for 520'</t>
  </si>
  <si>
    <t>East Filburn Road</t>
  </si>
  <si>
    <t>Taylor Road to Dunbar Road</t>
  </si>
  <si>
    <t>Comanche Pass Road</t>
  </si>
  <si>
    <t>Shoshone to Navajo</t>
  </si>
  <si>
    <t>HMA 36A Thin Overlay 22' wide @ 125#/syd.</t>
  </si>
  <si>
    <t>Cold-Milling HMA 1.5" (millings hauled to MCRC yard - 510 E. State Street, Scottville)</t>
  </si>
  <si>
    <t>1P-Alt.</t>
  </si>
  <si>
    <t>HMA Over Aggregate @ 220 psy at 24' wide</t>
  </si>
  <si>
    <t>Cold in Place Recycling 5" Depth at 25' wide</t>
  </si>
  <si>
    <t>HMA Base Crushing and Shaping 6" to 8" deep at 25' wide</t>
  </si>
  <si>
    <t>Tons</t>
  </si>
  <si>
    <t>MDOT</t>
  </si>
  <si>
    <t>MCRC</t>
  </si>
  <si>
    <t>RIETH-RILEY CONSTRUCTION</t>
  </si>
  <si>
    <t>Subtotal</t>
  </si>
  <si>
    <t>TOTAL AMOUNT</t>
  </si>
  <si>
    <t>STR#</t>
  </si>
  <si>
    <t>HMA Mix, 501 - 1000 Ton</t>
  </si>
  <si>
    <t>HMA Mix, 201 - 500 Ton</t>
  </si>
  <si>
    <t>HMA Mix, 1000+ Ton</t>
  </si>
  <si>
    <t>021</t>
  </si>
  <si>
    <t>094</t>
  </si>
  <si>
    <t>074</t>
  </si>
  <si>
    <t>072</t>
  </si>
  <si>
    <t>Contracts not received by MCRC - Pending Township Approval</t>
  </si>
  <si>
    <t>014</t>
  </si>
  <si>
    <t>ENGINEER'S ESTIMATE</t>
  </si>
  <si>
    <t>2019 HMA SURFACING - BID SUMMARY PER QUADRANT</t>
  </si>
  <si>
    <t xml:space="preserve">2019 HMA SURFACING </t>
  </si>
  <si>
    <t>064</t>
  </si>
  <si>
    <t>066</t>
  </si>
  <si>
    <t>083</t>
  </si>
  <si>
    <t>069</t>
  </si>
  <si>
    <t>Grant</t>
  </si>
  <si>
    <t>Townline &amp; Quarterline</t>
  </si>
  <si>
    <t>Stiles to Quarterline &amp; Townline to Countyline</t>
  </si>
  <si>
    <t>HMA 36A Wedge, 11.5'  wide, at selected locations, both lanes.</t>
  </si>
  <si>
    <t>Lakeshore Drive</t>
  </si>
  <si>
    <t>Between Washington &amp; Sunset Lane</t>
  </si>
  <si>
    <t>From Sawmill Drive Easterly to Schoenherr Road</t>
  </si>
  <si>
    <t>13P</t>
  </si>
  <si>
    <t>*Coordination with Mason CRC for adding minimum 3" aggregate on entire roadway &amp; culvert replacements.  Contractor responsible for initial and  final grade shaping.</t>
  </si>
  <si>
    <t>12P**</t>
  </si>
  <si>
    <t>052**</t>
  </si>
  <si>
    <t>Rath Road</t>
  </si>
  <si>
    <t>Jagger Road north 800'</t>
  </si>
  <si>
    <t>** HMA 36A Wedging SHALL be completed on or before June 15, 2019</t>
  </si>
  <si>
    <t>* HMA 36A Wedging Projects SHALL be completed on or before August 1, 2019</t>
  </si>
  <si>
    <t>* HMA Overlay Projects SHALL be completed on or before September 28, 2019</t>
  </si>
  <si>
    <t>HMA LVSP Overlay @ 220 psy at 22' wide</t>
  </si>
  <si>
    <t>HMA LVSP Overlay @ 165 #/syd at 22' wide</t>
  </si>
  <si>
    <t>Total Primary</t>
  </si>
  <si>
    <t>MDOT Primary</t>
  </si>
  <si>
    <t>MCRC Primary</t>
  </si>
  <si>
    <t>REVISIONS</t>
  </si>
  <si>
    <t>084</t>
  </si>
  <si>
    <t>081</t>
  </si>
  <si>
    <t>082</t>
  </si>
  <si>
    <t>Campbell Road</t>
  </si>
  <si>
    <t>Between Johnson Road &amp; Hansen Road (East Lane)</t>
  </si>
  <si>
    <t>UPDATED 5/20/2019</t>
  </si>
  <si>
    <t>099B</t>
  </si>
  <si>
    <t>Washington Avenue to Ellis Street</t>
  </si>
  <si>
    <t>Bryant Street to Eli Street</t>
  </si>
  <si>
    <r>
      <t xml:space="preserve">Gordon Road to west </t>
    </r>
    <r>
      <rPr>
        <b/>
        <sz val="14"/>
        <color indexed="10"/>
        <rFont val="Arial"/>
        <family val="2"/>
      </rPr>
      <t>to</t>
    </r>
    <r>
      <rPr>
        <sz val="14"/>
        <rFont val="Arial"/>
        <family val="2"/>
      </rPr>
      <t xml:space="preserve"> Bridge</t>
    </r>
  </si>
  <si>
    <t>HOLD - MCRC NEEDS TO INSTALL CULVERTS</t>
  </si>
  <si>
    <t>Morton Road</t>
  </si>
  <si>
    <t>Countyline Road south to Sass Road</t>
  </si>
  <si>
    <t>132</t>
  </si>
  <si>
    <t>Dewey Road</t>
  </si>
  <si>
    <t>Between Morse &amp; Benson Road</t>
  </si>
  <si>
    <t>HMA Patch, wedge &amp; overlay 22' wide by 200' long (bridge repair)</t>
  </si>
  <si>
    <t>PLAN</t>
  </si>
  <si>
    <t>Actual</t>
  </si>
  <si>
    <t>Qty</t>
  </si>
  <si>
    <t>Date</t>
  </si>
  <si>
    <t>7/12/2019 &amp; 7/15/2019</t>
  </si>
  <si>
    <t>6/27 &amp; 7/8</t>
  </si>
  <si>
    <t>Primary</t>
  </si>
  <si>
    <t>Townships</t>
  </si>
  <si>
    <t>6/3 &amp; 6/26</t>
  </si>
  <si>
    <r>
      <t xml:space="preserve">Gordon Road to west </t>
    </r>
    <r>
      <rPr>
        <b/>
        <sz val="14"/>
        <rFont val="Arial"/>
        <family val="2"/>
      </rPr>
      <t>to</t>
    </r>
    <r>
      <rPr>
        <sz val="14"/>
        <rFont val="Arial"/>
        <family val="2"/>
      </rPr>
      <t xml:space="preserve"> Bridge</t>
    </r>
  </si>
  <si>
    <t>HMA LVSP or 5E1, Wedging Over Aggregate Shoulder at 8' wide and HMA Overlay @ 165#/Syd @ 28' wide (Est. 1,400 ton wedge &amp; 3,420 Overlay)</t>
  </si>
  <si>
    <t>Estimated</t>
  </si>
  <si>
    <t>Conrad &amp; Meyers (Patch)</t>
  </si>
  <si>
    <t>N. of Beyer to Fountain Road</t>
  </si>
  <si>
    <t>Fountain Road to Colburn &amp; Townline to Freeman</t>
  </si>
  <si>
    <r>
      <rPr>
        <u/>
        <sz val="14"/>
        <rFont val="Arial"/>
        <family val="2"/>
      </rPr>
      <t>*Optional</t>
    </r>
    <r>
      <rPr>
        <sz val="14"/>
        <rFont val="Arial"/>
        <family val="2"/>
      </rPr>
      <t xml:space="preserve"> - Cold-Mill HMA Butt Joints (50' at each end - 2." to 0")</t>
    </r>
  </si>
  <si>
    <t>Remaining</t>
  </si>
  <si>
    <t>Percent</t>
  </si>
  <si>
    <t>HMA</t>
  </si>
  <si>
    <t>Anticipated</t>
  </si>
  <si>
    <t>Darr Road</t>
  </si>
  <si>
    <t>HMA over aggregate base, 28' wide including lip gutter @ 220#/Syd</t>
  </si>
  <si>
    <t>Between Sugar Grove &amp; Mavis Road (780' S of HMA &amp; 330' N of HMA)</t>
  </si>
  <si>
    <t>HMA LVSP or 5E1, Wedging Over Aggregate Shoulder at 8' wide and HMA Overlay @ 165#/Syd @ 24-28' wide (Est. 1,100 ton wedge &amp; 2,710 Overlay)</t>
  </si>
  <si>
    <t>Still about 60 tons of wedging to complete in 2020</t>
  </si>
  <si>
    <t>UPDATED 11/11/2019</t>
  </si>
  <si>
    <t xml:space="preserve">2020 HMA SURFACING </t>
  </si>
  <si>
    <t>2020 HMA SURFACING (Continued)</t>
  </si>
  <si>
    <t>Virnetta Drive</t>
  </si>
  <si>
    <t>HMA Overlay @ 165 #/syd over entire roadway (21' Wide)</t>
  </si>
  <si>
    <t>Hill Side Road</t>
  </si>
  <si>
    <t>Jebavy to Cul-de-sac</t>
  </si>
  <si>
    <t>HMA Overlay @ 165 #/syd over entire roadway (21' - 26' Wide)</t>
  </si>
  <si>
    <t>Lake Avenue</t>
  </si>
  <si>
    <t>HMA Overlay @ 165 #/syd over entire roadway (18' Wide)</t>
  </si>
  <si>
    <t>Beech Avenue</t>
  </si>
  <si>
    <t>HMA Overlay @ 165 #/syd over entire roadway (19' Wide)</t>
  </si>
  <si>
    <t>Terri Court</t>
  </si>
  <si>
    <t>HMA Overlay @ 165 #/syd over entire roadway (16' Wide)</t>
  </si>
  <si>
    <t>Juanita Avenue</t>
  </si>
  <si>
    <t>HMA Overlay @ 165 #/syd over entire roadway (20' Wide)</t>
  </si>
  <si>
    <t>Sherman St to Riverview Drive</t>
  </si>
  <si>
    <t>HMA Overlay @ 165 #/syd over entire roadway (22' Wide &amp; 2100' lip gutter)</t>
  </si>
  <si>
    <t>Pleasant Ridge Road</t>
  </si>
  <si>
    <t>West Johnson</t>
  </si>
  <si>
    <t>HMA Overlay @ 165 #/syd over entire roadway (19' Wide include cul-de-sac)</t>
  </si>
  <si>
    <t>059</t>
  </si>
  <si>
    <t>Curtwood Road</t>
  </si>
  <si>
    <t>N Lendale to N Sherman</t>
  </si>
  <si>
    <t>160</t>
  </si>
  <si>
    <t>W Hazelwood Road</t>
  </si>
  <si>
    <t>S Jebavy to Oakwood</t>
  </si>
  <si>
    <t>HMA Overlay @ 165 #/syd over entire roadway (19''-20' Wide)</t>
  </si>
  <si>
    <t>011</t>
  </si>
  <si>
    <t>Park Street</t>
  </si>
  <si>
    <t>Lakeshore to Cala 740' and the corner of Cala and Lenox 80' Radius</t>
  </si>
  <si>
    <t>HMA Overlay @ 220 #/syd over entire roadway (20' Wide)</t>
  </si>
  <si>
    <t>015</t>
  </si>
  <si>
    <t>** HMA 36A Wedging SHALL be completed on or before June 19, 2019</t>
  </si>
  <si>
    <t>Mack Road</t>
  </si>
  <si>
    <t>North of North Ave to Turnaround</t>
  </si>
  <si>
    <t>HMA Wedge @ 165 #/syd at three locations</t>
  </si>
  <si>
    <t xml:space="preserve">Starting 525' East of Barothy lodge continure west 6,129' to Whalhalla Rd </t>
  </si>
  <si>
    <t>HMA 36A Overlay @ 110 #/syd over entire roadway (22' Wide)</t>
  </si>
  <si>
    <t>US-10 east to Campbell Rd</t>
  </si>
  <si>
    <t>* MCRC will need to add Aggregate to the shoulder prior to paving</t>
  </si>
  <si>
    <t>071</t>
  </si>
  <si>
    <t>525' east of Darr and 177' east of Tuttle</t>
  </si>
  <si>
    <t>Weaver Road</t>
  </si>
  <si>
    <t>Barothy Road</t>
  </si>
  <si>
    <t>HMA Wedge at select locations</t>
  </si>
  <si>
    <t>* HMA Overlay Projects SHALL be completed on or before September 30, 2020</t>
  </si>
  <si>
    <t>Conrad</t>
  </si>
  <si>
    <t>Victory Corner east to wedging last year</t>
  </si>
  <si>
    <t>Apply Wedging in selected arears</t>
  </si>
  <si>
    <t>*098</t>
  </si>
  <si>
    <t>Hamllin</t>
  </si>
  <si>
    <t>Beaune</t>
  </si>
  <si>
    <t>Angling north</t>
  </si>
  <si>
    <t>2020 HMA SURFACING - BID SUMMARY PER QUADRANT</t>
  </si>
  <si>
    <t>New to 2020</t>
  </si>
  <si>
    <t>Carry Over</t>
  </si>
  <si>
    <t>** HMA 36A Wedging SHALL be completed on or before June 1, 2020</t>
  </si>
  <si>
    <t>HMA 36A Wedge full lane north side</t>
  </si>
  <si>
    <t>*** MCRC needs to uncut &amp; remove clay, add gravel prior to HMA</t>
  </si>
  <si>
    <t>Reek, Ottawa, MeeNAhGa</t>
  </si>
  <si>
    <t>Overlay @ 2" with valley gutter (MCRC needs to add 4" of gravel prior to HMA)</t>
  </si>
  <si>
    <t>Starting oat the hill on Reek continuing around to the top of hill on Ottawa and then south on Mee Nah Ga Lane</t>
  </si>
  <si>
    <t>CANCELED</t>
  </si>
  <si>
    <r>
      <t xml:space="preserve">M-116 to Beech Avenue </t>
    </r>
    <r>
      <rPr>
        <b/>
        <sz val="14"/>
        <color indexed="10"/>
        <rFont val="Arial"/>
        <family val="2"/>
      </rPr>
      <t>(Water Main Work)</t>
    </r>
  </si>
  <si>
    <r>
      <t xml:space="preserve">Lake Avenue south to end of road </t>
    </r>
    <r>
      <rPr>
        <b/>
        <sz val="14"/>
        <color indexed="10"/>
        <rFont val="Arial"/>
        <family val="2"/>
      </rPr>
      <t>(Water Main Work)</t>
    </r>
  </si>
  <si>
    <r>
      <t xml:space="preserve">Beech Avenue to end of HMA near lake </t>
    </r>
    <r>
      <rPr>
        <b/>
        <sz val="14"/>
        <color indexed="10"/>
        <rFont val="Arial"/>
        <family val="2"/>
      </rPr>
      <t>(Water Main Work)</t>
    </r>
  </si>
  <si>
    <r>
      <t xml:space="preserve">Juanita to Orchard Avenue </t>
    </r>
    <r>
      <rPr>
        <b/>
        <sz val="14"/>
        <color indexed="10"/>
        <rFont val="Arial"/>
        <family val="2"/>
      </rPr>
      <t>(Water Main Work)</t>
    </r>
  </si>
  <si>
    <r>
      <t xml:space="preserve">Jebavy to Cul-de-sac </t>
    </r>
    <r>
      <rPr>
        <b/>
        <sz val="14"/>
        <color indexed="10"/>
        <rFont val="Arial"/>
        <family val="2"/>
      </rPr>
      <t>(Riser Rings Required)</t>
    </r>
  </si>
  <si>
    <r>
      <t xml:space="preserve">Washington Avenue to Rath Avenue </t>
    </r>
    <r>
      <rPr>
        <b/>
        <sz val="14"/>
        <color indexed="10"/>
        <rFont val="Arial"/>
        <family val="2"/>
      </rPr>
      <t>(Storm Sewer Install 8-1-2020)</t>
    </r>
  </si>
  <si>
    <t>Property Owner in low spot did not want any road water on his property.</t>
  </si>
  <si>
    <t xml:space="preserve">LaSalle </t>
  </si>
  <si>
    <t>Between Hoague Road &amp; US-31 (Misc. spot overlays)</t>
  </si>
  <si>
    <t>HMA LVSP Over Aggregate @ 165 psy at 22' wide</t>
  </si>
  <si>
    <t>6/15/2020 &amp; 7/2/2020</t>
  </si>
  <si>
    <t>Riverton &amp; Summit</t>
  </si>
  <si>
    <t>PM Highway</t>
  </si>
  <si>
    <t>US-31 to South County Line</t>
  </si>
  <si>
    <t>HMA Wedging various locations as marked</t>
  </si>
  <si>
    <t>Victory</t>
  </si>
  <si>
    <t xml:space="preserve">HMA Patches </t>
  </si>
  <si>
    <t>062</t>
  </si>
  <si>
    <t>Dennis Road</t>
  </si>
  <si>
    <t>Starting 1358' North of Hansen &amp; continuing 732'</t>
  </si>
  <si>
    <t>Stiles &amp; Angling westerly to Jebavy Drive</t>
  </si>
  <si>
    <t>From Stephens Road continuing east for 650' both sides of Road</t>
  </si>
  <si>
    <t>HMA 36A or 5E1 full width Wedging</t>
  </si>
  <si>
    <t>POSTPONED</t>
  </si>
  <si>
    <t>HMA LVSP or 5E1, Wedging Over Aggregate Shoulder at 8' wide and HMA Overlay @ 165#/Syd @ 26' wide (Est. 1,100 ton wedge &amp; 2,710 Overlay)</t>
  </si>
  <si>
    <t>HMA Overlay @ 120# Jebavy to Beaune Road then 145# @ 28' wide</t>
  </si>
  <si>
    <t>Chauvez to Washington</t>
  </si>
  <si>
    <t>7P</t>
  </si>
  <si>
    <t>Stiles to Scottville</t>
  </si>
  <si>
    <t>8P</t>
  </si>
  <si>
    <t>Marrision Road</t>
  </si>
  <si>
    <t>9P</t>
  </si>
  <si>
    <t>Stiles Road</t>
  </si>
  <si>
    <t>Marrision to Washington</t>
  </si>
  <si>
    <t>First Street</t>
  </si>
  <si>
    <t>Brye to Stiles</t>
  </si>
  <si>
    <t>Starting at Benson Road westerly to Larson Road</t>
  </si>
  <si>
    <t>Benson Road</t>
  </si>
  <si>
    <t>Millerton Road north to Ford Lake</t>
  </si>
  <si>
    <t>LVSP Overlay @ 165#/Syd (2,677' x 22')</t>
  </si>
  <si>
    <t>Shoshone Trail &amp; Chickasaw</t>
  </si>
  <si>
    <t>Chickasaw to Navago &amp; Shoshone</t>
  </si>
  <si>
    <t>9/2/2020 &amp; 9/3/2020</t>
  </si>
  <si>
    <t>8/31/2020 &amp; 9/2/2020</t>
  </si>
  <si>
    <t>Scottville</t>
  </si>
  <si>
    <t>US-10</t>
  </si>
  <si>
    <t>Main St to High St</t>
  </si>
  <si>
    <t>Mill and Fill various locations as marked</t>
  </si>
  <si>
    <t>MDOT TWA</t>
  </si>
  <si>
    <t>HMA 36A Wedge full lane south side</t>
  </si>
  <si>
    <r>
      <t>LVSP Overlay @ 165#/Syd (7,271' x 21.5') (</t>
    </r>
    <r>
      <rPr>
        <sz val="14"/>
        <color rgb="FFFF0000"/>
        <rFont val="Arial"/>
        <family val="2"/>
      </rPr>
      <t>MCRC needs to install a culvert)</t>
    </r>
  </si>
  <si>
    <t>HMA Wedging 8' wide 0" to ?" (run slope @ 2% ideal to 3% max.)</t>
  </si>
  <si>
    <t>9/11/2020 &amp; 9/17/20 &amp; 9/18/20 &amp;9/21/20</t>
  </si>
  <si>
    <t>HMA LVSP over Aggregate @ 240#/syd at 28' wide with LG</t>
  </si>
  <si>
    <t>HMA LVSP over Aggregate @ 240#/syd at 22' wide</t>
  </si>
  <si>
    <t>9/24/2020 &amp; 9/25/2020</t>
  </si>
  <si>
    <t>085</t>
  </si>
  <si>
    <t>065</t>
  </si>
  <si>
    <t>10/5/2020 &amp; 10/7/2020 &amp; 10/8/2020</t>
  </si>
  <si>
    <t>Actual totals Wedging with ski @ 2% 2450 tons &amp; 2084 tons @ 125# Surface</t>
  </si>
  <si>
    <t>Countyline Road</t>
  </si>
  <si>
    <t>Quarterline west 9,437' to end of HMA</t>
  </si>
  <si>
    <t>HMA 5E1/36A Wedge 11' x 0 @ CL &amp; 1.5" @ 11' - Select Locations</t>
  </si>
  <si>
    <t>9/11/2020 &amp; 9/8/20</t>
  </si>
  <si>
    <t>After Board Meeting on 9-10-2020</t>
  </si>
  <si>
    <t>After Stiles mistake on 8-31-2020</t>
  </si>
  <si>
    <t>UPDATED 11/18/2020 ERN</t>
  </si>
  <si>
    <t>(ft or mi)</t>
  </si>
  <si>
    <t>Bradshaw Road</t>
  </si>
  <si>
    <t>Eden</t>
  </si>
  <si>
    <t>Logan</t>
  </si>
  <si>
    <t>Mead</t>
  </si>
  <si>
    <t xml:space="preserve">UNIT </t>
  </si>
  <si>
    <t>Unit</t>
  </si>
  <si>
    <t>Brye Road</t>
  </si>
  <si>
    <t>Riverton/Summit</t>
  </si>
  <si>
    <t>Taylor Road</t>
  </si>
  <si>
    <t>2022 HMA SURFACING</t>
  </si>
  <si>
    <t>012</t>
  </si>
  <si>
    <t>G Street</t>
  </si>
  <si>
    <t>Lakeshore Drive west for 300'</t>
  </si>
  <si>
    <t>013</t>
  </si>
  <si>
    <t xml:space="preserve">MCRC to prepare gravel base prior to HMA </t>
  </si>
  <si>
    <t>North Ave to Thiele Road (950')</t>
  </si>
  <si>
    <t>* HMA Overlay Projects SHALL be completed on or before October 28, 2022</t>
  </si>
  <si>
    <t>** HMA Wedging SHALL be completed on or before July 1, 2022</t>
  </si>
  <si>
    <t>Brunson Road</t>
  </si>
  <si>
    <t>Deren to Meisenheimer 2,290'</t>
  </si>
  <si>
    <t>Hawley to Anthony 10,438'</t>
  </si>
  <si>
    <t>HMA Paving @ 240 #/syd over entire roadway (16' Wide + LG S. Side')</t>
  </si>
  <si>
    <t>S. Lakeshore Drive</t>
  </si>
  <si>
    <t>Patterson Road</t>
  </si>
  <si>
    <t>Speer Road</t>
  </si>
  <si>
    <t>Dunecrest Ave.</t>
  </si>
  <si>
    <t>Shoreview Court</t>
  </si>
  <si>
    <t>Shoreview Court including two (2) cul-de-sacs</t>
  </si>
  <si>
    <t>Riverview Drive</t>
  </si>
  <si>
    <t>Pleasant Ridge Road to Pleasant Ridge Road</t>
  </si>
  <si>
    <t>Pleasant Ridge</t>
  </si>
  <si>
    <t>W. Riverview to W. Riverview</t>
  </si>
  <si>
    <t xml:space="preserve">HMA Overlay @ 165 #/syd over entire roadway (20 -22' Wide)  </t>
  </si>
  <si>
    <t xml:space="preserve">275' HMA Wedging &amp; HMA Overlay @ 165 #/syd over entire roadway (20 -22' Wide)  </t>
  </si>
  <si>
    <t>HMA Paving @ 330 #/syd (2 lifts) over entire roadway (26' Wide + LG E. Side')</t>
  </si>
  <si>
    <t xml:space="preserve">HMA Overlay @ 220 #/syd over entire roadway (20 -22' Wide)  </t>
  </si>
  <si>
    <t>Buttersville Park to Top of the Hill, 600'</t>
  </si>
  <si>
    <t>Inman to Brunson, 3,931'</t>
  </si>
  <si>
    <t>Lakeshore westerly, 760'</t>
  </si>
  <si>
    <t>S. of Patterson, 726' Including cul-de-sac</t>
  </si>
  <si>
    <t>S. Lakeshore Drive to S. Shoreview, 950'</t>
  </si>
  <si>
    <t>Select wedging 10' to 11' Wide - Prior to Chip Seal</t>
  </si>
  <si>
    <t>2022 HMA SURFACING (Continued)</t>
  </si>
  <si>
    <t>Walhalla Shores N. to Filburn, 1,850'</t>
  </si>
  <si>
    <t xml:space="preserve">HMA Paving over Aggregate @ 240 #/syd over entire roadway (22' Wide)  </t>
  </si>
  <si>
    <t>MCRC to remove HMA, undercut, aggrgate prior to HMA</t>
  </si>
  <si>
    <t>Anthony Road</t>
  </si>
  <si>
    <t>Anthony Road from Masten Road to Woods Road, 3,694'</t>
  </si>
  <si>
    <t xml:space="preserve">HMA Paving over Aggregate @ 240 #/syd over entire roadway (22' to 26' wide w/LG)  </t>
  </si>
  <si>
    <t>143</t>
  </si>
  <si>
    <t>Reek, Ottawa &amp; Mee Nah Ga Lane</t>
  </si>
  <si>
    <t>MCRC to install storm sewer, aggregate base prior to HMA</t>
  </si>
  <si>
    <t>Starting at the hill on Reek continuing S &amp; E to the top of the hill on Ottawa.  South on Mee Nah Ga to the end, 1,450'</t>
  </si>
  <si>
    <t>East Ford Lake Road</t>
  </si>
  <si>
    <t>Mustang Road</t>
  </si>
  <si>
    <t>from 200' West of Griffin for 390'</t>
  </si>
  <si>
    <t xml:space="preserve">HMA Paving over Aggregate @ 240 #/syd over entire roadway (26' wide w/LG)  </t>
  </si>
  <si>
    <t xml:space="preserve">MCRC to add aggregate, grade &amp; compact gravel base prior to HMA </t>
  </si>
  <si>
    <t>Fountain Road N. 415'</t>
  </si>
  <si>
    <t>Fountain Road N. 460'</t>
  </si>
  <si>
    <t>Budzinski Road</t>
  </si>
  <si>
    <t>Freesoil Road to Bennett Road, 2,600'</t>
  </si>
  <si>
    <t xml:space="preserve">Select wedging 10' to 11' </t>
  </si>
  <si>
    <t>Larch Drive &amp; Larchwood</t>
  </si>
  <si>
    <t>Piney Ridge east 1,314' &amp; Larchwood north 620'</t>
  </si>
  <si>
    <t xml:space="preserve">HMA Paving over Aggregate @ 240 #/syd over entire roadway (20' to 22' wide)  </t>
  </si>
  <si>
    <t>Piney Ridge</t>
  </si>
  <si>
    <t>Various Segments north of Larch between 3264 &amp; 3130</t>
  </si>
  <si>
    <t>640'</t>
  </si>
  <si>
    <t>Chauvez Road</t>
  </si>
  <si>
    <t>Bryant Road</t>
  </si>
  <si>
    <t>HMA Butt Joints</t>
  </si>
  <si>
    <t>Jebavy Drive</t>
  </si>
  <si>
    <t>Custer Road</t>
  </si>
  <si>
    <t>Wilson Road to Chauvez Road</t>
  </si>
  <si>
    <t>2022 HMA SURFACING - BID SUMMARY PER QUADRANT</t>
  </si>
  <si>
    <t>MCRC to do earthwork, undercutting, culverts, aggregate base prior to HMA</t>
  </si>
  <si>
    <t>041</t>
  </si>
  <si>
    <t>MCRC to undercut, place geogrid, aggregate prior to HMA</t>
  </si>
  <si>
    <t>HMA wedging and HMA Overlay 19' wide @ 120#/syd</t>
  </si>
  <si>
    <t>The length of Jebavy Drive will be adjusted based on available funding.</t>
  </si>
  <si>
    <t>CONTRACTOR</t>
  </si>
  <si>
    <t>CONTRACTORS</t>
  </si>
  <si>
    <t xml:space="preserve">HMA Overlay @ 165 #/syd over entire roadway (22' Wide)  </t>
  </si>
  <si>
    <t xml:space="preserve">HMA Overlay @ 130 #/syd over entire roadway (28' Wide)  </t>
  </si>
  <si>
    <t>2,450' N. of Fisher Road South to Decker Road, 5,150'</t>
  </si>
  <si>
    <t>Sherman to New HMA at Elementary School, 1,360'</t>
  </si>
  <si>
    <t>Stiles to Scottville Road (2,800' x 10' x 100#)</t>
  </si>
  <si>
    <t>Chauvez to Marrison Road (19,500' x 10' x 100#)</t>
  </si>
  <si>
    <t>(Chauvez to Meisenheimer 1,500' x 10' x 100#) (1,250' S. of Meisenheimer to Marrision 18,000' x 10' x 100#)</t>
  </si>
  <si>
    <t xml:space="preserve">HMA Overlay @ 145 #/syd over entire roadway (30' Wide)  </t>
  </si>
  <si>
    <t>Select wedging various locations 5' to 11' Wide - Prior to Chip Seal</t>
  </si>
  <si>
    <t>Victory Corner Road</t>
  </si>
  <si>
    <t>starting at 105' north of Dewey south to 1,150'</t>
  </si>
  <si>
    <t>Stiles to Amber, 5,164'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</si>
</sst>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0.0"/>
    <numFmt numFmtId="168" formatCode="0.000"/>
  </numFmts>
  <fonts count="7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sz val="14"/>
      <name val="Arial"/>
      <family val="2"/>
    </font>
    <font>
      <b/>
      <u/>
      <sz val="2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4"/>
      <color indexed="10"/>
      <name val="Arial"/>
      <family val="2"/>
    </font>
    <font>
      <strike/>
      <sz val="14"/>
      <name val="Arial"/>
      <family val="2"/>
    </font>
    <font>
      <strike/>
      <sz val="12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0" tint="-0.34998626667073579"/>
      <name val="Arial"/>
      <family val="2"/>
    </font>
    <font>
      <b/>
      <sz val="10"/>
      <color rgb="FFFFFF0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color theme="0" tint="-0.34998626667073579"/>
      <name val="Arial"/>
      <family val="2"/>
    </font>
    <font>
      <strike/>
      <sz val="14"/>
      <color rgb="FFFF0000"/>
      <name val="Cambria"/>
      <family val="1"/>
    </font>
    <font>
      <strike/>
      <sz val="12"/>
      <color rgb="FFFF0000"/>
      <name val="Cambria"/>
      <family val="1"/>
    </font>
    <font>
      <strike/>
      <sz val="14"/>
      <color rgb="FFFF0000"/>
      <name val="Arial"/>
      <family val="2"/>
    </font>
    <font>
      <b/>
      <sz val="12"/>
      <color rgb="FFFF0000"/>
      <name val="Arial"/>
      <family val="2"/>
    </font>
    <font>
      <strike/>
      <sz val="12"/>
      <color rgb="FFFF0000"/>
      <name val="Arial"/>
      <family val="2"/>
    </font>
    <font>
      <b/>
      <strike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20"/>
      <color rgb="FFFF0000"/>
      <name val="Arial Black"/>
      <family val="2"/>
    </font>
    <font>
      <sz val="20"/>
      <color rgb="FFFF0000"/>
      <name val="Arial Black"/>
      <family val="2"/>
    </font>
    <font>
      <strike/>
      <sz val="12"/>
      <color rgb="FFFF0000"/>
      <name val="Calibri"/>
      <family val="2"/>
      <scheme val="minor"/>
    </font>
    <font>
      <sz val="14"/>
      <color theme="1"/>
      <name val="Arial"/>
      <family val="2"/>
    </font>
    <font>
      <b/>
      <strike/>
      <sz val="10"/>
      <name val="Arial"/>
      <family val="2"/>
    </font>
    <font>
      <strike/>
      <sz val="12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Arial Black"/>
      <family val="2"/>
    </font>
    <font>
      <sz val="20"/>
      <name val="Arial Black"/>
      <family val="2"/>
    </font>
    <font>
      <sz val="14"/>
      <color rgb="FFFF0000"/>
      <name val="Arial Black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1" applyNumberFormat="0" applyAlignment="0" applyProtection="0"/>
    <xf numFmtId="0" fontId="6" fillId="14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2" fillId="0" borderId="0"/>
    <xf numFmtId="0" fontId="1" fillId="5" borderId="7" applyNumberFormat="0" applyFont="0" applyAlignment="0" applyProtection="0"/>
    <xf numFmtId="0" fontId="15" fillId="9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899">
    <xf numFmtId="0" fontId="0" fillId="0" borderId="0" xfId="0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44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45" fillId="0" borderId="0" xfId="0" applyFont="1"/>
    <xf numFmtId="0" fontId="45" fillId="0" borderId="0" xfId="0" applyFont="1"/>
    <xf numFmtId="0" fontId="45" fillId="0" borderId="0" xfId="0" applyFont="1" applyAlignment="1">
      <alignment horizontal="center"/>
    </xf>
    <xf numFmtId="164" fontId="0" fillId="0" borderId="0" xfId="0" applyNumberFormat="1"/>
    <xf numFmtId="0" fontId="44" fillId="0" borderId="0" xfId="0" applyFont="1"/>
    <xf numFmtId="0" fontId="46" fillId="0" borderId="0" xfId="0" applyFont="1"/>
    <xf numFmtId="0" fontId="46" fillId="0" borderId="0" xfId="0" applyFont="1" applyAlignment="1">
      <alignment horizontal="left"/>
    </xf>
    <xf numFmtId="3" fontId="30" fillId="0" borderId="0" xfId="0" applyNumberFormat="1" applyFont="1"/>
    <xf numFmtId="3" fontId="47" fillId="0" borderId="0" xfId="0" applyNumberFormat="1" applyFont="1"/>
    <xf numFmtId="0" fontId="21" fillId="0" borderId="0" xfId="0" applyFont="1" applyAlignment="1">
      <alignment wrapText="1"/>
    </xf>
    <xf numFmtId="3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/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horizontal="center" wrapText="1"/>
    </xf>
    <xf numFmtId="2" fontId="45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2" fontId="45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45" fillId="18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28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5" fillId="18" borderId="0" xfId="0" applyFont="1" applyFill="1" applyAlignment="1">
      <alignment horizontal="left"/>
    </xf>
    <xf numFmtId="0" fontId="19" fillId="18" borderId="0" xfId="0" applyFont="1" applyFill="1"/>
    <xf numFmtId="0" fontId="0" fillId="18" borderId="0" xfId="0" applyFill="1"/>
    <xf numFmtId="0" fontId="20" fillId="18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45" fillId="18" borderId="0" xfId="0" applyFont="1" applyFill="1" applyAlignment="1">
      <alignment wrapText="1"/>
    </xf>
    <xf numFmtId="0" fontId="24" fillId="18" borderId="0" xfId="0" applyFont="1" applyFill="1" applyAlignment="1">
      <alignment wrapText="1"/>
    </xf>
    <xf numFmtId="0" fontId="24" fillId="18" borderId="0" xfId="0" applyFont="1" applyFill="1"/>
    <xf numFmtId="0" fontId="45" fillId="18" borderId="0" xfId="0" applyFont="1" applyFill="1"/>
    <xf numFmtId="0" fontId="44" fillId="18" borderId="0" xfId="0" applyFont="1" applyFill="1" applyAlignment="1">
      <alignment horizontal="center" wrapText="1"/>
    </xf>
    <xf numFmtId="0" fontId="44" fillId="18" borderId="0" xfId="0" applyFont="1" applyFill="1" applyAlignment="1">
      <alignment wrapText="1"/>
    </xf>
    <xf numFmtId="2" fontId="44" fillId="18" borderId="0" xfId="0" applyNumberFormat="1" applyFont="1" applyFill="1" applyAlignment="1">
      <alignment horizontal="center" wrapText="1"/>
    </xf>
    <xf numFmtId="0" fontId="30" fillId="18" borderId="0" xfId="0" applyFont="1" applyFill="1" applyAlignment="1">
      <alignment horizontal="right" wrapText="1"/>
    </xf>
    <xf numFmtId="3" fontId="30" fillId="18" borderId="0" xfId="0" applyNumberFormat="1" applyFont="1" applyFill="1"/>
    <xf numFmtId="0" fontId="44" fillId="18" borderId="0" xfId="0" applyFont="1" applyFill="1"/>
    <xf numFmtId="0" fontId="44" fillId="18" borderId="0" xfId="0" applyFont="1" applyFill="1"/>
    <xf numFmtId="0" fontId="20" fillId="0" borderId="10" xfId="0" applyFont="1" applyBorder="1" applyAlignment="1">
      <alignment horizontal="center"/>
    </xf>
    <xf numFmtId="2" fontId="45" fillId="18" borderId="0" xfId="0" applyNumberFormat="1" applyFont="1" applyFill="1" applyAlignment="1">
      <alignment horizontal="center" wrapText="1"/>
    </xf>
    <xf numFmtId="3" fontId="45" fillId="18" borderId="0" xfId="0" applyNumberFormat="1" applyFont="1" applyFill="1"/>
    <xf numFmtId="0" fontId="45" fillId="0" borderId="0" xfId="0" applyFont="1" applyAlignment="1">
      <alignment wrapText="1"/>
    </xf>
    <xf numFmtId="2" fontId="45" fillId="0" borderId="0" xfId="0" applyNumberFormat="1" applyFont="1" applyAlignment="1">
      <alignment horizontal="center" wrapText="1"/>
    </xf>
    <xf numFmtId="3" fontId="45" fillId="0" borderId="0" xfId="0" applyNumberFormat="1" applyFont="1"/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center" wrapText="1"/>
    </xf>
    <xf numFmtId="0" fontId="44" fillId="0" borderId="0" xfId="0" applyFont="1"/>
    <xf numFmtId="0" fontId="44" fillId="0" borderId="0" xfId="0" applyFont="1"/>
    <xf numFmtId="0" fontId="31" fillId="18" borderId="0" xfId="0" applyFont="1" applyFill="1" applyAlignment="1">
      <alignment horizontal="left"/>
    </xf>
    <xf numFmtId="2" fontId="24" fillId="18" borderId="0" xfId="0" applyNumberFormat="1" applyFont="1" applyFill="1" applyAlignment="1">
      <alignment horizontal="center" wrapText="1"/>
    </xf>
    <xf numFmtId="3" fontId="24" fillId="18" borderId="0" xfId="0" applyNumberFormat="1" applyFont="1" applyFill="1"/>
    <xf numFmtId="0" fontId="24" fillId="18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31" fillId="18" borderId="0" xfId="0" applyFont="1" applyFill="1" applyAlignment="1">
      <alignment horizontal="left"/>
    </xf>
    <xf numFmtId="0" fontId="44" fillId="18" borderId="0" xfId="0" applyFont="1" applyFill="1" applyAlignment="1">
      <alignment wrapText="1"/>
    </xf>
    <xf numFmtId="2" fontId="44" fillId="18" borderId="0" xfId="0" applyNumberFormat="1" applyFont="1" applyFill="1" applyAlignment="1">
      <alignment horizontal="center" wrapText="1"/>
    </xf>
    <xf numFmtId="0" fontId="30" fillId="18" borderId="0" xfId="0" applyFont="1" applyFill="1" applyAlignment="1">
      <alignment horizontal="right" wrapText="1"/>
    </xf>
    <xf numFmtId="3" fontId="30" fillId="18" borderId="0" xfId="0" applyNumberFormat="1" applyFont="1" applyFill="1"/>
    <xf numFmtId="0" fontId="26" fillId="0" borderId="0" xfId="0" applyFont="1"/>
    <xf numFmtId="0" fontId="0" fillId="18" borderId="0" xfId="0" applyFill="1"/>
    <xf numFmtId="0" fontId="0" fillId="0" borderId="11" xfId="0" applyBorder="1"/>
    <xf numFmtId="0" fontId="21" fillId="0" borderId="0" xfId="0" applyFont="1" applyAlignment="1">
      <alignment vertical="center"/>
    </xf>
    <xf numFmtId="3" fontId="24" fillId="0" borderId="0" xfId="0" applyNumberFormat="1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2" fontId="45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46" fillId="0" borderId="0" xfId="0" applyFont="1"/>
    <xf numFmtId="0" fontId="24" fillId="0" borderId="0" xfId="0" applyFont="1" applyAlignment="1">
      <alignment vertical="center" wrapText="1"/>
    </xf>
    <xf numFmtId="0" fontId="26" fillId="0" borderId="12" xfId="0" applyFont="1" applyBorder="1"/>
    <xf numFmtId="0" fontId="24" fillId="0" borderId="13" xfId="0" quotePrefix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45" fillId="0" borderId="13" xfId="0" applyFont="1" applyBorder="1"/>
    <xf numFmtId="0" fontId="24" fillId="0" borderId="13" xfId="0" applyFont="1" applyBorder="1"/>
    <xf numFmtId="1" fontId="29" fillId="0" borderId="13" xfId="0" quotePrefix="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0" fillId="0" borderId="13" xfId="0" applyBorder="1"/>
    <xf numFmtId="0" fontId="24" fillId="0" borderId="13" xfId="0" applyFont="1" applyBorder="1" applyAlignment="1">
      <alignment horizontal="center" vertical="center" wrapText="1"/>
    </xf>
    <xf numFmtId="0" fontId="45" fillId="0" borderId="14" xfId="0" applyFont="1" applyBorder="1"/>
    <xf numFmtId="0" fontId="45" fillId="0" borderId="15" xfId="0" applyFont="1" applyBorder="1"/>
    <xf numFmtId="0" fontId="45" fillId="0" borderId="13" xfId="0" applyFont="1" applyBorder="1" applyAlignment="1">
      <alignment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Alignment="1">
      <alignment vertical="top" textRotation="255"/>
    </xf>
    <xf numFmtId="0" fontId="29" fillId="0" borderId="13" xfId="0" quotePrefix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top" textRotation="255"/>
    </xf>
    <xf numFmtId="2" fontId="24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4" fillId="0" borderId="17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8" xfId="0" applyFont="1" applyBorder="1"/>
    <xf numFmtId="0" fontId="26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19" xfId="0" applyFont="1" applyBorder="1" applyAlignment="1">
      <alignment wrapText="1"/>
    </xf>
    <xf numFmtId="0" fontId="45" fillId="0" borderId="20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/>
    <xf numFmtId="0" fontId="45" fillId="0" borderId="23" xfId="0" applyFont="1" applyBorder="1"/>
    <xf numFmtId="0" fontId="26" fillId="0" borderId="17" xfId="0" applyFont="1" applyBorder="1" applyAlignment="1">
      <alignment wrapText="1"/>
    </xf>
    <xf numFmtId="0" fontId="0" fillId="0" borderId="18" xfId="0" applyBorder="1"/>
    <xf numFmtId="0" fontId="44" fillId="0" borderId="18" xfId="0" applyFont="1" applyBorder="1"/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6" fillId="0" borderId="26" xfId="0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center" vertical="center"/>
    </xf>
    <xf numFmtId="165" fontId="24" fillId="0" borderId="13" xfId="28" applyNumberFormat="1" applyFont="1" applyBorder="1" applyAlignment="1">
      <alignment horizontal="center" vertical="center"/>
    </xf>
    <xf numFmtId="165" fontId="24" fillId="0" borderId="22" xfId="28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center"/>
    </xf>
    <xf numFmtId="0" fontId="24" fillId="0" borderId="27" xfId="0" applyFont="1" applyBorder="1" applyAlignment="1">
      <alignment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45" fillId="0" borderId="27" xfId="0" applyFont="1" applyBorder="1"/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45" fillId="0" borderId="29" xfId="0" applyFont="1" applyBorder="1"/>
    <xf numFmtId="0" fontId="45" fillId="0" borderId="30" xfId="0" applyFont="1" applyBorder="1"/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33" xfId="0" applyFont="1" applyBorder="1" applyAlignment="1">
      <alignment vertical="center" wrapText="1"/>
    </xf>
    <xf numFmtId="2" fontId="45" fillId="0" borderId="34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3" xfId="0" applyFont="1" applyBorder="1"/>
    <xf numFmtId="0" fontId="45" fillId="0" borderId="36" xfId="0" applyFont="1" applyBorder="1"/>
    <xf numFmtId="0" fontId="2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45" fillId="0" borderId="22" xfId="0" applyFont="1" applyBorder="1"/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2" fontId="24" fillId="0" borderId="34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vertical="center" wrapText="1"/>
    </xf>
    <xf numFmtId="3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4" fillId="0" borderId="37" xfId="0" quotePrefix="1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2" fontId="24" fillId="0" borderId="37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45" fillId="0" borderId="37" xfId="0" applyFont="1" applyBorder="1"/>
    <xf numFmtId="0" fontId="24" fillId="0" borderId="3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3" fontId="24" fillId="0" borderId="37" xfId="0" applyNumberFormat="1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38" xfId="0" applyFont="1" applyBorder="1" applyAlignment="1">
      <alignment vertical="center" wrapText="1"/>
    </xf>
    <xf numFmtId="2" fontId="24" fillId="0" borderId="38" xfId="0" applyNumberFormat="1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vertical="center"/>
    </xf>
    <xf numFmtId="3" fontId="24" fillId="0" borderId="35" xfId="0" applyNumberFormat="1" applyFont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 vertical="center" wrapText="1"/>
    </xf>
    <xf numFmtId="0" fontId="29" fillId="19" borderId="28" xfId="0" applyFont="1" applyFill="1" applyBorder="1" applyAlignment="1">
      <alignment horizontal="center" vertical="center" wrapText="1"/>
    </xf>
    <xf numFmtId="3" fontId="49" fillId="0" borderId="0" xfId="0" applyNumberFormat="1" applyFont="1"/>
    <xf numFmtId="0" fontId="49" fillId="0" borderId="0" xfId="0" applyFont="1"/>
    <xf numFmtId="3" fontId="50" fillId="0" borderId="0" xfId="0" applyNumberFormat="1" applyFont="1"/>
    <xf numFmtId="0" fontId="50" fillId="0" borderId="0" xfId="0" applyFont="1"/>
    <xf numFmtId="0" fontId="0" fillId="0" borderId="0" xfId="0" applyAlignment="1">
      <alignment horizontal="right"/>
    </xf>
    <xf numFmtId="164" fontId="22" fillId="0" borderId="0" xfId="0" applyNumberFormat="1" applyFont="1"/>
    <xf numFmtId="3" fontId="51" fillId="0" borderId="0" xfId="0" applyNumberFormat="1" applyFont="1"/>
    <xf numFmtId="0" fontId="51" fillId="0" borderId="0" xfId="0" applyFont="1"/>
    <xf numFmtId="0" fontId="34" fillId="0" borderId="0" xfId="0" applyFont="1"/>
    <xf numFmtId="164" fontId="34" fillId="0" borderId="0" xfId="0" applyNumberFormat="1" applyFont="1"/>
    <xf numFmtId="3" fontId="22" fillId="0" borderId="0" xfId="0" applyNumberFormat="1" applyFont="1"/>
    <xf numFmtId="164" fontId="22" fillId="0" borderId="0" xfId="0" applyNumberFormat="1" applyFont="1" applyAlignment="1">
      <alignment horizontal="center" vertical="center"/>
    </xf>
    <xf numFmtId="164" fontId="22" fillId="18" borderId="0" xfId="0" applyNumberFormat="1" applyFont="1" applyFill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22" fillId="18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5" fontId="24" fillId="0" borderId="0" xfId="28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34" fillId="0" borderId="13" xfId="0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2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27" fillId="0" borderId="0" xfId="0" applyFont="1"/>
    <xf numFmtId="3" fontId="29" fillId="0" borderId="37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164" fontId="24" fillId="0" borderId="37" xfId="0" applyNumberFormat="1" applyFont="1" applyBorder="1" applyAlignment="1">
      <alignment horizontal="center" vertical="center"/>
    </xf>
    <xf numFmtId="164" fontId="24" fillId="0" borderId="39" xfId="0" applyNumberFormat="1" applyFont="1" applyBorder="1" applyAlignment="1">
      <alignment horizontal="center" vertical="center"/>
    </xf>
    <xf numFmtId="164" fontId="24" fillId="0" borderId="29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164" fontId="24" fillId="0" borderId="41" xfId="0" applyNumberFormat="1" applyFont="1" applyBorder="1" applyAlignment="1">
      <alignment horizontal="center" vertical="center"/>
    </xf>
    <xf numFmtId="164" fontId="24" fillId="0" borderId="35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164" fontId="35" fillId="0" borderId="37" xfId="0" applyNumberFormat="1" applyFont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164" fontId="35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0" fontId="45" fillId="0" borderId="42" xfId="0" applyFont="1" applyBorder="1"/>
    <xf numFmtId="0" fontId="45" fillId="0" borderId="43" xfId="0" applyFont="1" applyBorder="1"/>
    <xf numFmtId="164" fontId="22" fillId="0" borderId="37" xfId="0" applyNumberFormat="1" applyFont="1" applyBorder="1" applyAlignment="1">
      <alignment horizontal="center" vertical="center"/>
    </xf>
    <xf numFmtId="164" fontId="34" fillId="0" borderId="44" xfId="0" applyNumberFormat="1" applyFont="1" applyBorder="1" applyAlignment="1">
      <alignment horizontal="center" vertical="center"/>
    </xf>
    <xf numFmtId="0" fontId="45" fillId="0" borderId="42" xfId="0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164" fontId="24" fillId="0" borderId="38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5" fontId="29" fillId="0" borderId="44" xfId="28" applyNumberFormat="1" applyFont="1" applyBorder="1" applyAlignment="1">
      <alignment horizontal="center" vertical="center"/>
    </xf>
    <xf numFmtId="164" fontId="35" fillId="0" borderId="44" xfId="29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26" fillId="0" borderId="45" xfId="0" applyFont="1" applyBorder="1"/>
    <xf numFmtId="164" fontId="22" fillId="0" borderId="15" xfId="0" applyNumberFormat="1" applyFont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/>
    </xf>
    <xf numFmtId="164" fontId="24" fillId="0" borderId="46" xfId="0" applyNumberFormat="1" applyFont="1" applyBorder="1" applyAlignment="1">
      <alignment horizontal="center" vertical="center"/>
    </xf>
    <xf numFmtId="164" fontId="34" fillId="0" borderId="15" xfId="0" applyNumberFormat="1" applyFont="1" applyBorder="1" applyAlignment="1">
      <alignment horizontal="center" vertical="center"/>
    </xf>
    <xf numFmtId="164" fontId="22" fillId="0" borderId="27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6" fillId="0" borderId="21" xfId="0" applyFont="1" applyBorder="1"/>
    <xf numFmtId="0" fontId="26" fillId="0" borderId="47" xfId="0" applyFont="1" applyBorder="1" applyAlignment="1">
      <alignment horizontal="center"/>
    </xf>
    <xf numFmtId="164" fontId="24" fillId="0" borderId="27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64" fontId="22" fillId="0" borderId="49" xfId="0" applyNumberFormat="1" applyFont="1" applyBorder="1" applyAlignment="1">
      <alignment horizontal="center" vertical="center"/>
    </xf>
    <xf numFmtId="164" fontId="24" fillId="0" borderId="50" xfId="0" applyNumberFormat="1" applyFont="1" applyBorder="1" applyAlignment="1">
      <alignment horizontal="center" vertical="center"/>
    </xf>
    <xf numFmtId="0" fontId="45" fillId="0" borderId="11" xfId="0" applyFont="1" applyBorder="1"/>
    <xf numFmtId="0" fontId="22" fillId="0" borderId="11" xfId="0" applyFont="1" applyBorder="1"/>
    <xf numFmtId="0" fontId="34" fillId="0" borderId="26" xfId="0" applyFont="1" applyBorder="1" applyAlignment="1">
      <alignment horizontal="left" vertical="center"/>
    </xf>
    <xf numFmtId="0" fontId="0" fillId="0" borderId="48" xfId="0" applyBorder="1"/>
    <xf numFmtId="0" fontId="37" fillId="0" borderId="48" xfId="0" applyFont="1" applyBorder="1" applyAlignment="1">
      <alignment horizontal="left" vertical="center"/>
    </xf>
    <xf numFmtId="0" fontId="24" fillId="0" borderId="27" xfId="0" quotePrefix="1" applyFont="1" applyBorder="1" applyAlignment="1">
      <alignment horizontal="center" vertical="center" wrapText="1"/>
    </xf>
    <xf numFmtId="0" fontId="29" fillId="0" borderId="27" xfId="0" quotePrefix="1" applyFont="1" applyBorder="1" applyAlignment="1">
      <alignment horizontal="center" vertical="center" wrapText="1"/>
    </xf>
    <xf numFmtId="0" fontId="29" fillId="19" borderId="13" xfId="0" quotePrefix="1" applyFont="1" applyFill="1" applyBorder="1" applyAlignment="1">
      <alignment horizontal="center" vertical="center" wrapText="1"/>
    </xf>
    <xf numFmtId="0" fontId="29" fillId="19" borderId="13" xfId="0" applyFont="1" applyFill="1" applyBorder="1" applyAlignment="1">
      <alignment horizontal="center" vertical="center" wrapText="1"/>
    </xf>
    <xf numFmtId="0" fontId="24" fillId="0" borderId="28" xfId="0" quotePrefix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4" fillId="0" borderId="19" xfId="0" applyFont="1" applyBorder="1"/>
    <xf numFmtId="164" fontId="38" fillId="0" borderId="51" xfId="0" applyNumberFormat="1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0" fontId="24" fillId="0" borderId="51" xfId="0" applyFont="1" applyBorder="1"/>
    <xf numFmtId="0" fontId="39" fillId="0" borderId="51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64" fontId="38" fillId="0" borderId="44" xfId="0" applyNumberFormat="1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3" fontId="39" fillId="0" borderId="44" xfId="0" applyNumberFormat="1" applyFont="1" applyBorder="1" applyAlignment="1">
      <alignment horizontal="center" vertical="center"/>
    </xf>
    <xf numFmtId="164" fontId="29" fillId="0" borderId="44" xfId="0" applyNumberFormat="1" applyFont="1" applyBorder="1" applyAlignment="1">
      <alignment horizontal="center" vertical="center"/>
    </xf>
    <xf numFmtId="3" fontId="52" fillId="0" borderId="0" xfId="0" applyNumberFormat="1" applyFont="1"/>
    <xf numFmtId="0" fontId="29" fillId="0" borderId="53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9" fillId="0" borderId="13" xfId="0" quotePrefix="1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7" xfId="0" applyFont="1" applyBorder="1" applyAlignment="1">
      <alignment vertical="center" wrapText="1"/>
    </xf>
    <xf numFmtId="2" fontId="29" fillId="0" borderId="37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Alignment="1">
      <alignment wrapText="1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65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24" fillId="0" borderId="13" xfId="0" quotePrefix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164" fontId="35" fillId="0" borderId="37" xfId="0" applyNumberFormat="1" applyFont="1" applyFill="1" applyBorder="1" applyAlignment="1">
      <alignment horizontal="center" vertical="center"/>
    </xf>
    <xf numFmtId="164" fontId="24" fillId="0" borderId="37" xfId="0" applyNumberFormat="1" applyFont="1" applyFill="1" applyBorder="1" applyAlignment="1">
      <alignment horizontal="center" vertical="center"/>
    </xf>
    <xf numFmtId="164" fontId="22" fillId="0" borderId="37" xfId="0" applyNumberFormat="1" applyFont="1" applyFill="1" applyBorder="1" applyAlignment="1">
      <alignment horizontal="center" vertical="center"/>
    </xf>
    <xf numFmtId="1" fontId="29" fillId="19" borderId="13" xfId="0" quotePrefix="1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164" fontId="54" fillId="0" borderId="13" xfId="0" applyNumberFormat="1" applyFont="1" applyBorder="1" applyAlignment="1">
      <alignment horizontal="center" vertical="center"/>
    </xf>
    <xf numFmtId="164" fontId="53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164" fontId="56" fillId="0" borderId="37" xfId="0" applyNumberFormat="1" applyFont="1" applyBorder="1" applyAlignment="1">
      <alignment horizontal="center" vertical="center"/>
    </xf>
    <xf numFmtId="0" fontId="55" fillId="0" borderId="37" xfId="0" applyFont="1" applyBorder="1" applyAlignment="1">
      <alignment vertical="center" wrapText="1"/>
    </xf>
    <xf numFmtId="2" fontId="55" fillId="0" borderId="37" xfId="0" applyNumberFormat="1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29" xfId="0" applyFont="1" applyBorder="1" applyAlignment="1">
      <alignment vertical="center" wrapText="1"/>
    </xf>
    <xf numFmtId="2" fontId="55" fillId="0" borderId="29" xfId="0" applyNumberFormat="1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164" fontId="55" fillId="0" borderId="29" xfId="0" applyNumberFormat="1" applyFont="1" applyBorder="1" applyAlignment="1">
      <alignment horizontal="center" vertical="center"/>
    </xf>
    <xf numFmtId="164" fontId="55" fillId="0" borderId="39" xfId="0" applyNumberFormat="1" applyFont="1" applyBorder="1" applyAlignment="1">
      <alignment horizontal="center" vertical="center"/>
    </xf>
    <xf numFmtId="164" fontId="57" fillId="0" borderId="13" xfId="0" applyNumberFormat="1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2" fontId="58" fillId="0" borderId="13" xfId="0" applyNumberFormat="1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164" fontId="55" fillId="0" borderId="37" xfId="0" applyNumberFormat="1" applyFont="1" applyBorder="1" applyAlignment="1">
      <alignment horizontal="center" vertical="center"/>
    </xf>
    <xf numFmtId="164" fontId="57" fillId="0" borderId="37" xfId="0" applyNumberFormat="1" applyFont="1" applyBorder="1" applyAlignment="1">
      <alignment horizontal="center" vertical="center"/>
    </xf>
    <xf numFmtId="0" fontId="55" fillId="0" borderId="37" xfId="0" quotePrefix="1" applyFont="1" applyFill="1" applyBorder="1" applyAlignment="1">
      <alignment horizontal="center" vertical="center" wrapText="1"/>
    </xf>
    <xf numFmtId="164" fontId="55" fillId="0" borderId="16" xfId="0" applyNumberFormat="1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left" vertical="center" wrapText="1"/>
    </xf>
    <xf numFmtId="3" fontId="55" fillId="0" borderId="29" xfId="0" applyNumberFormat="1" applyFont="1" applyBorder="1" applyAlignment="1">
      <alignment horizontal="center" vertical="center"/>
    </xf>
    <xf numFmtId="164" fontId="55" fillId="0" borderId="40" xfId="0" applyNumberFormat="1" applyFont="1" applyBorder="1" applyAlignment="1">
      <alignment horizontal="center" vertical="center"/>
    </xf>
    <xf numFmtId="164" fontId="55" fillId="0" borderId="13" xfId="0" applyNumberFormat="1" applyFont="1" applyBorder="1" applyAlignment="1">
      <alignment horizontal="center" vertical="center"/>
    </xf>
    <xf numFmtId="3" fontId="55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2" xfId="0" applyFont="1" applyBorder="1" applyAlignment="1">
      <alignment vertical="center" wrapText="1"/>
    </xf>
    <xf numFmtId="164" fontId="45" fillId="0" borderId="33" xfId="0" applyNumberFormat="1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164" fontId="39" fillId="0" borderId="44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 wrapText="1"/>
    </xf>
    <xf numFmtId="14" fontId="24" fillId="0" borderId="0" xfId="0" applyNumberFormat="1" applyFont="1" applyAlignment="1">
      <alignment horizontal="left"/>
    </xf>
    <xf numFmtId="0" fontId="59" fillId="0" borderId="13" xfId="0" quotePrefix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2" fontId="59" fillId="0" borderId="13" xfId="0" applyNumberFormat="1" applyFont="1" applyBorder="1" applyAlignment="1">
      <alignment horizontal="center" vertical="center" wrapText="1"/>
    </xf>
    <xf numFmtId="3" fontId="59" fillId="0" borderId="13" xfId="0" applyNumberFormat="1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164" fontId="45" fillId="0" borderId="27" xfId="0" applyNumberFormat="1" applyFont="1" applyBorder="1" applyAlignment="1">
      <alignment horizontal="center" vertical="center"/>
    </xf>
    <xf numFmtId="164" fontId="44" fillId="0" borderId="27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vertical="center" wrapText="1"/>
    </xf>
    <xf numFmtId="3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center" vertical="center"/>
    </xf>
    <xf numFmtId="0" fontId="59" fillId="0" borderId="14" xfId="0" applyFont="1" applyBorder="1" applyAlignment="1">
      <alignment vertical="center" wrapText="1"/>
    </xf>
    <xf numFmtId="0" fontId="60" fillId="19" borderId="0" xfId="0" applyFont="1" applyFill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164" fontId="34" fillId="0" borderId="55" xfId="0" applyNumberFormat="1" applyFont="1" applyBorder="1" applyAlignment="1">
      <alignment horizontal="center" vertical="center"/>
    </xf>
    <xf numFmtId="0" fontId="29" fillId="0" borderId="37" xfId="0" quotePrefix="1" applyFont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vertical="center" wrapText="1"/>
    </xf>
    <xf numFmtId="2" fontId="58" fillId="0" borderId="37" xfId="0" applyNumberFormat="1" applyFont="1" applyBorder="1" applyAlignment="1">
      <alignment horizontal="center" vertical="center" wrapText="1"/>
    </xf>
    <xf numFmtId="164" fontId="29" fillId="0" borderId="55" xfId="0" applyNumberFormat="1" applyFont="1" applyBorder="1" applyAlignment="1">
      <alignment horizontal="center" vertical="center"/>
    </xf>
    <xf numFmtId="0" fontId="55" fillId="0" borderId="42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6" fillId="0" borderId="56" xfId="0" applyFont="1" applyBorder="1" applyAlignment="1">
      <alignment wrapText="1"/>
    </xf>
    <xf numFmtId="0" fontId="26" fillId="0" borderId="57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0" fillId="0" borderId="57" xfId="0" applyBorder="1"/>
    <xf numFmtId="0" fontId="26" fillId="0" borderId="55" xfId="0" applyFont="1" applyBorder="1"/>
    <xf numFmtId="14" fontId="24" fillId="0" borderId="13" xfId="0" applyNumberFormat="1" applyFont="1" applyBorder="1" applyAlignment="1">
      <alignment horizontal="center" vertical="center" wrapText="1"/>
    </xf>
    <xf numFmtId="3" fontId="24" fillId="0" borderId="49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24" fillId="20" borderId="29" xfId="0" applyFont="1" applyFill="1" applyBorder="1" applyAlignment="1">
      <alignment vertical="center" wrapText="1"/>
    </xf>
    <xf numFmtId="2" fontId="24" fillId="20" borderId="29" xfId="0" applyNumberFormat="1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vertical="center" wrapText="1"/>
    </xf>
    <xf numFmtId="14" fontId="24" fillId="0" borderId="38" xfId="0" applyNumberFormat="1" applyFont="1" applyBorder="1" applyAlignment="1">
      <alignment horizontal="center" vertical="center" wrapText="1"/>
    </xf>
    <xf numFmtId="14" fontId="24" fillId="0" borderId="37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3" fontId="24" fillId="20" borderId="13" xfId="0" applyNumberFormat="1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3" fontId="26" fillId="20" borderId="0" xfId="0" applyNumberFormat="1" applyFont="1" applyFill="1" applyAlignment="1">
      <alignment horizontal="center" vertical="center"/>
    </xf>
    <xf numFmtId="14" fontId="24" fillId="0" borderId="29" xfId="0" applyNumberFormat="1" applyFont="1" applyBorder="1" applyAlignment="1">
      <alignment horizontal="center" vertical="center" wrapText="1"/>
    </xf>
    <xf numFmtId="3" fontId="24" fillId="0" borderId="29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2" fontId="24" fillId="0" borderId="29" xfId="0" applyNumberFormat="1" applyFont="1" applyFill="1" applyBorder="1" applyAlignment="1">
      <alignment horizontal="center" vertical="center" wrapText="1"/>
    </xf>
    <xf numFmtId="3" fontId="29" fillId="0" borderId="48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47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5" fontId="29" fillId="0" borderId="47" xfId="28" applyNumberFormat="1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vertical="center" wrapText="1"/>
    </xf>
    <xf numFmtId="2" fontId="29" fillId="0" borderId="27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vertical="center" wrapText="1"/>
    </xf>
    <xf numFmtId="3" fontId="39" fillId="0" borderId="48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28" xfId="0" quotePrefix="1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/>
    </xf>
    <xf numFmtId="1" fontId="29" fillId="0" borderId="13" xfId="0" quotePrefix="1" applyNumberFormat="1" applyFont="1" applyFill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center" wrapTex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>
      <alignment horizontal="center" vertical="center"/>
    </xf>
    <xf numFmtId="0" fontId="29" fillId="20" borderId="29" xfId="0" applyFont="1" applyFill="1" applyBorder="1" applyAlignment="1">
      <alignment vertical="center" wrapText="1"/>
    </xf>
    <xf numFmtId="0" fontId="24" fillId="0" borderId="34" xfId="0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43" fontId="22" fillId="0" borderId="13" xfId="28" applyFont="1" applyBorder="1" applyAlignment="1">
      <alignment horizontal="center"/>
    </xf>
    <xf numFmtId="166" fontId="34" fillId="0" borderId="0" xfId="42" applyNumberFormat="1" applyFont="1" applyAlignment="1">
      <alignment horizontal="right"/>
    </xf>
    <xf numFmtId="0" fontId="29" fillId="0" borderId="13" xfId="0" applyFont="1" applyFill="1" applyBorder="1" applyAlignment="1">
      <alignment horizontal="center" vertical="center" wrapText="1"/>
    </xf>
    <xf numFmtId="2" fontId="59" fillId="0" borderId="15" xfId="0" applyNumberFormat="1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43" fontId="24" fillId="0" borderId="13" xfId="28" applyFont="1" applyBorder="1" applyAlignment="1">
      <alignment vertical="center" wrapText="1"/>
    </xf>
    <xf numFmtId="43" fontId="24" fillId="0" borderId="13" xfId="28" applyFont="1" applyBorder="1" applyAlignment="1">
      <alignment horizontal="center" vertical="center" wrapText="1"/>
    </xf>
    <xf numFmtId="43" fontId="24" fillId="0" borderId="13" xfId="28" applyFont="1" applyFill="1" applyBorder="1" applyAlignment="1">
      <alignment vertical="center" wrapText="1"/>
    </xf>
    <xf numFmtId="3" fontId="29" fillId="0" borderId="2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0" fontId="24" fillId="0" borderId="13" xfId="28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164" fontId="42" fillId="0" borderId="41" xfId="0" applyNumberFormat="1" applyFont="1" applyBorder="1" applyAlignment="1">
      <alignment horizontal="center" vertical="center"/>
    </xf>
    <xf numFmtId="164" fontId="42" fillId="0" borderId="27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24" fillId="20" borderId="13" xfId="0" applyFont="1" applyFill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34" fillId="0" borderId="44" xfId="0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0" fillId="0" borderId="16" xfId="0" applyBorder="1"/>
    <xf numFmtId="164" fontId="34" fillId="0" borderId="21" xfId="0" applyNumberFormat="1" applyFont="1" applyBorder="1" applyAlignment="1">
      <alignment horizontal="center" vertical="center"/>
    </xf>
    <xf numFmtId="10" fontId="49" fillId="0" borderId="13" xfId="42" applyNumberFormat="1" applyFont="1" applyBorder="1" applyAlignment="1">
      <alignment horizontal="center" vertical="center"/>
    </xf>
    <xf numFmtId="10" fontId="49" fillId="0" borderId="37" xfId="42" applyNumberFormat="1" applyFont="1" applyBorder="1" applyAlignment="1">
      <alignment horizontal="center" vertical="center"/>
    </xf>
    <xf numFmtId="10" fontId="51" fillId="0" borderId="44" xfId="42" applyNumberFormat="1" applyFont="1" applyBorder="1" applyAlignment="1">
      <alignment horizontal="center" vertical="center"/>
    </xf>
    <xf numFmtId="0" fontId="0" fillId="0" borderId="37" xfId="0" applyBorder="1"/>
    <xf numFmtId="164" fontId="22" fillId="0" borderId="39" xfId="0" applyNumberFormat="1" applyFont="1" applyBorder="1" applyAlignment="1">
      <alignment horizontal="center" vertical="center"/>
    </xf>
    <xf numFmtId="10" fontId="51" fillId="0" borderId="53" xfId="42" applyNumberFormat="1" applyFont="1" applyBorder="1" applyAlignment="1">
      <alignment horizontal="center" vertical="center"/>
    </xf>
    <xf numFmtId="2" fontId="24" fillId="20" borderId="13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20" borderId="13" xfId="0" applyFont="1" applyFill="1" applyBorder="1" applyAlignment="1">
      <alignment horizontal="center" vertical="center"/>
    </xf>
    <xf numFmtId="10" fontId="49" fillId="0" borderId="27" xfId="42" applyNumberFormat="1" applyFont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164" fontId="22" fillId="0" borderId="4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3" fontId="24" fillId="0" borderId="13" xfId="28" applyFont="1" applyFill="1" applyBorder="1" applyAlignment="1">
      <alignment horizontal="center" vertical="center" wrapText="1"/>
    </xf>
    <xf numFmtId="3" fontId="24" fillId="20" borderId="29" xfId="0" applyNumberFormat="1" applyFont="1" applyFill="1" applyBorder="1" applyAlignment="1">
      <alignment horizontal="center" vertical="center"/>
    </xf>
    <xf numFmtId="2" fontId="24" fillId="20" borderId="13" xfId="0" applyNumberFormat="1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left" vertical="center"/>
    </xf>
    <xf numFmtId="3" fontId="29" fillId="20" borderId="13" xfId="0" applyNumberFormat="1" applyFont="1" applyFill="1" applyBorder="1" applyAlignment="1">
      <alignment horizontal="center" vertical="center"/>
    </xf>
    <xf numFmtId="0" fontId="24" fillId="20" borderId="13" xfId="0" quotePrefix="1" applyFont="1" applyFill="1" applyBorder="1" applyAlignment="1">
      <alignment horizontal="center" vertical="center" wrapText="1"/>
    </xf>
    <xf numFmtId="0" fontId="24" fillId="20" borderId="38" xfId="0" quotePrefix="1" applyFont="1" applyFill="1" applyBorder="1" applyAlignment="1">
      <alignment horizontal="center" vertical="center" wrapText="1"/>
    </xf>
    <xf numFmtId="0" fontId="24" fillId="20" borderId="38" xfId="0" applyFont="1" applyFill="1" applyBorder="1" applyAlignment="1">
      <alignment vertical="center" wrapText="1"/>
    </xf>
    <xf numFmtId="2" fontId="24" fillId="20" borderId="38" xfId="0" applyNumberFormat="1" applyFont="1" applyFill="1" applyBorder="1" applyAlignment="1">
      <alignment horizontal="center" vertical="center" wrapText="1"/>
    </xf>
    <xf numFmtId="0" fontId="24" fillId="20" borderId="38" xfId="0" applyFont="1" applyFill="1" applyBorder="1" applyAlignment="1">
      <alignment horizontal="center" vertical="center"/>
    </xf>
    <xf numFmtId="0" fontId="0" fillId="0" borderId="0" xfId="0" applyFill="1"/>
    <xf numFmtId="0" fontId="24" fillId="0" borderId="29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/>
    </xf>
    <xf numFmtId="0" fontId="40" fillId="20" borderId="14" xfId="0" applyFont="1" applyFill="1" applyBorder="1" applyAlignment="1">
      <alignment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38" xfId="0" applyFont="1" applyFill="1" applyBorder="1" applyAlignment="1">
      <alignment horizontal="center" vertical="center" wrapText="1"/>
    </xf>
    <xf numFmtId="14" fontId="24" fillId="0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164" fontId="22" fillId="20" borderId="27" xfId="0" applyNumberFormat="1" applyFont="1" applyFill="1" applyBorder="1" applyAlignment="1">
      <alignment horizontal="center" vertical="center"/>
    </xf>
    <xf numFmtId="164" fontId="22" fillId="20" borderId="13" xfId="0" applyNumberFormat="1" applyFont="1" applyFill="1" applyBorder="1" applyAlignment="1">
      <alignment horizontal="center" vertical="center"/>
    </xf>
    <xf numFmtId="164" fontId="22" fillId="20" borderId="37" xfId="0" applyNumberFormat="1" applyFont="1" applyFill="1" applyBorder="1" applyAlignment="1">
      <alignment horizontal="center" vertical="center"/>
    </xf>
    <xf numFmtId="164" fontId="24" fillId="20" borderId="13" xfId="0" applyNumberFormat="1" applyFont="1" applyFill="1" applyBorder="1" applyAlignment="1">
      <alignment horizontal="center" vertical="center"/>
    </xf>
    <xf numFmtId="1" fontId="24" fillId="0" borderId="13" xfId="0" quotePrefix="1" applyNumberFormat="1" applyFont="1" applyFill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/>
    </xf>
    <xf numFmtId="164" fontId="22" fillId="0" borderId="50" xfId="0" applyNumberFormat="1" applyFont="1" applyBorder="1" applyAlignment="1">
      <alignment horizontal="center" vertical="center"/>
    </xf>
    <xf numFmtId="10" fontId="49" fillId="0" borderId="38" xfId="42" applyNumberFormat="1" applyFont="1" applyBorder="1" applyAlignment="1">
      <alignment horizontal="center" vertical="center"/>
    </xf>
    <xf numFmtId="0" fontId="24" fillId="21" borderId="13" xfId="0" quotePrefix="1" applyFont="1" applyFill="1" applyBorder="1" applyAlignment="1">
      <alignment horizontal="center" vertical="center" wrapText="1"/>
    </xf>
    <xf numFmtId="164" fontId="22" fillId="21" borderId="13" xfId="0" applyNumberFormat="1" applyFont="1" applyFill="1" applyBorder="1" applyAlignment="1">
      <alignment horizontal="center" vertical="center"/>
    </xf>
    <xf numFmtId="0" fontId="0" fillId="21" borderId="0" xfId="0" applyFill="1"/>
    <xf numFmtId="10" fontId="49" fillId="21" borderId="13" xfId="42" applyNumberFormat="1" applyFont="1" applyFill="1" applyBorder="1" applyAlignment="1">
      <alignment horizontal="center" vertical="center"/>
    </xf>
    <xf numFmtId="164" fontId="24" fillId="21" borderId="13" xfId="0" applyNumberFormat="1" applyFont="1" applyFill="1" applyBorder="1" applyAlignment="1">
      <alignment horizontal="center" vertical="center"/>
    </xf>
    <xf numFmtId="0" fontId="24" fillId="0" borderId="38" xfId="0" quotePrefix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6" fillId="0" borderId="58" xfId="0" applyFont="1" applyBorder="1"/>
    <xf numFmtId="0" fontId="26" fillId="0" borderId="19" xfId="0" applyFont="1" applyBorder="1"/>
    <xf numFmtId="0" fontId="26" fillId="0" borderId="51" xfId="0" applyFont="1" applyBorder="1" applyAlignment="1">
      <alignment horizontal="center"/>
    </xf>
    <xf numFmtId="0" fontId="34" fillId="0" borderId="19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10" fontId="51" fillId="0" borderId="59" xfId="42" applyNumberFormat="1" applyFont="1" applyBorder="1" applyAlignment="1">
      <alignment horizontal="center" vertical="center"/>
    </xf>
    <xf numFmtId="0" fontId="32" fillId="0" borderId="13" xfId="0" applyFont="1" applyBorder="1" applyAlignment="1">
      <alignment vertical="top" textRotation="255"/>
    </xf>
    <xf numFmtId="0" fontId="0" fillId="0" borderId="0" xfId="0" applyBorder="1"/>
    <xf numFmtId="0" fontId="24" fillId="22" borderId="13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/>
    </xf>
    <xf numFmtId="164" fontId="24" fillId="22" borderId="13" xfId="0" applyNumberFormat="1" applyFont="1" applyFill="1" applyBorder="1" applyAlignment="1">
      <alignment horizontal="center" vertical="center"/>
    </xf>
    <xf numFmtId="0" fontId="27" fillId="22" borderId="13" xfId="0" applyFont="1" applyFill="1" applyBorder="1" applyAlignment="1">
      <alignment horizontal="center" vertical="center" wrapText="1"/>
    </xf>
    <xf numFmtId="0" fontId="0" fillId="0" borderId="44" xfId="0" applyBorder="1"/>
    <xf numFmtId="164" fontId="29" fillId="0" borderId="44" xfId="28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2" fontId="22" fillId="0" borderId="37" xfId="0" applyNumberFormat="1" applyFont="1" applyBorder="1" applyAlignment="1">
      <alignment horizontal="center"/>
    </xf>
    <xf numFmtId="164" fontId="38" fillId="0" borderId="13" xfId="0" applyNumberFormat="1" applyFont="1" applyBorder="1" applyAlignment="1">
      <alignment horizontal="center" vertical="center"/>
    </xf>
    <xf numFmtId="164" fontId="38" fillId="22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164" fontId="38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66" fontId="34" fillId="0" borderId="13" xfId="42" applyNumberFormat="1" applyFont="1" applyBorder="1" applyAlignment="1">
      <alignment horizontal="center" vertical="center"/>
    </xf>
    <xf numFmtId="43" fontId="22" fillId="0" borderId="13" xfId="28" applyFont="1" applyBorder="1" applyAlignment="1">
      <alignment horizontal="center" vertical="center"/>
    </xf>
    <xf numFmtId="0" fontId="27" fillId="22" borderId="13" xfId="0" applyFont="1" applyFill="1" applyBorder="1" applyAlignment="1">
      <alignment horizontal="center" vertical="center"/>
    </xf>
    <xf numFmtId="166" fontId="34" fillId="22" borderId="13" xfId="42" applyNumberFormat="1" applyFont="1" applyFill="1" applyBorder="1" applyAlignment="1">
      <alignment horizontal="center" vertical="center"/>
    </xf>
    <xf numFmtId="43" fontId="22" fillId="22" borderId="13" xfId="28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34" fillId="0" borderId="0" xfId="42" applyNumberFormat="1" applyFont="1" applyFill="1" applyBorder="1" applyAlignment="1">
      <alignment horizontal="center" vertical="center"/>
    </xf>
    <xf numFmtId="43" fontId="22" fillId="0" borderId="0" xfId="28" applyFont="1" applyFill="1" applyBorder="1" applyAlignment="1">
      <alignment horizontal="center" vertical="center"/>
    </xf>
    <xf numFmtId="166" fontId="34" fillId="0" borderId="13" xfId="42" applyNumberFormat="1" applyFont="1" applyFill="1" applyBorder="1" applyAlignment="1">
      <alignment horizontal="center" vertical="center"/>
    </xf>
    <xf numFmtId="43" fontId="22" fillId="0" borderId="13" xfId="28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34" fillId="0" borderId="0" xfId="42" applyNumberFormat="1" applyFont="1" applyBorder="1" applyAlignment="1">
      <alignment horizontal="center" vertical="center"/>
    </xf>
    <xf numFmtId="43" fontId="22" fillId="0" borderId="0" xfId="28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66" fontId="34" fillId="0" borderId="0" xfId="42" applyNumberFormat="1" applyFont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164" fontId="39" fillId="0" borderId="44" xfId="0" applyNumberFormat="1" applyFont="1" applyBorder="1" applyAlignment="1">
      <alignment horizontal="center" vertical="center"/>
    </xf>
    <xf numFmtId="43" fontId="36" fillId="0" borderId="44" xfId="28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2" fontId="24" fillId="0" borderId="0" xfId="0" applyNumberFormat="1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24" fillId="21" borderId="13" xfId="0" applyFont="1" applyFill="1" applyBorder="1" applyAlignment="1">
      <alignment vertical="center" wrapText="1"/>
    </xf>
    <xf numFmtId="2" fontId="24" fillId="21" borderId="13" xfId="0" applyNumberFormat="1" applyFont="1" applyFill="1" applyBorder="1" applyAlignment="1">
      <alignment horizontal="center" vertical="center" wrapText="1"/>
    </xf>
    <xf numFmtId="14" fontId="24" fillId="21" borderId="13" xfId="0" applyNumberFormat="1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/>
    </xf>
    <xf numFmtId="164" fontId="35" fillId="21" borderId="13" xfId="0" applyNumberFormat="1" applyFont="1" applyFill="1" applyBorder="1" applyAlignment="1">
      <alignment horizontal="center" vertical="center"/>
    </xf>
    <xf numFmtId="0" fontId="0" fillId="21" borderId="13" xfId="0" applyFill="1" applyBorder="1"/>
    <xf numFmtId="164" fontId="24" fillId="0" borderId="13" xfId="29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64" fontId="35" fillId="0" borderId="0" xfId="29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vertical="top" textRotation="255"/>
    </xf>
    <xf numFmtId="10" fontId="29" fillId="19" borderId="0" xfId="42" applyNumberFormat="1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18" borderId="0" xfId="0" applyFill="1" applyAlignment="1">
      <alignment horizontal="center"/>
    </xf>
    <xf numFmtId="0" fontId="0" fillId="0" borderId="57" xfId="0" applyBorder="1" applyAlignment="1">
      <alignment horizontal="center"/>
    </xf>
    <xf numFmtId="0" fontId="26" fillId="0" borderId="18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18" borderId="0" xfId="0" applyFont="1" applyFill="1" applyAlignment="1">
      <alignment horizontal="center"/>
    </xf>
    <xf numFmtId="0" fontId="45" fillId="0" borderId="44" xfId="0" applyFont="1" applyBorder="1" applyAlignment="1">
      <alignment horizontal="center" wrapText="1"/>
    </xf>
    <xf numFmtId="0" fontId="29" fillId="0" borderId="4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18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26" fillId="0" borderId="56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24" fillId="0" borderId="13" xfId="0" applyNumberFormat="1" applyFont="1" applyBorder="1" applyAlignment="1">
      <alignment horizontal="center" vertical="center"/>
    </xf>
    <xf numFmtId="0" fontId="55" fillId="0" borderId="13" xfId="0" quotePrefix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2" fontId="55" fillId="0" borderId="13" xfId="0" applyNumberFormat="1" applyFont="1" applyFill="1" applyBorder="1" applyAlignment="1">
      <alignment horizontal="center" vertical="center" wrapText="1"/>
    </xf>
    <xf numFmtId="3" fontId="55" fillId="0" borderId="13" xfId="0" applyNumberFormat="1" applyFont="1" applyFill="1" applyBorder="1" applyAlignment="1">
      <alignment horizontal="center" vertical="center"/>
    </xf>
    <xf numFmtId="164" fontId="57" fillId="0" borderId="16" xfId="0" applyNumberFormat="1" applyFont="1" applyBorder="1" applyAlignment="1">
      <alignment horizontal="center" vertical="center"/>
    </xf>
    <xf numFmtId="10" fontId="64" fillId="0" borderId="13" xfId="42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44" xfId="28" applyNumberFormat="1" applyFont="1" applyBorder="1" applyAlignment="1">
      <alignment horizontal="center" vertical="center" wrapText="1"/>
    </xf>
    <xf numFmtId="14" fontId="65" fillId="0" borderId="37" xfId="0" applyNumberFormat="1" applyFont="1" applyBorder="1" applyAlignment="1">
      <alignment horizontal="center" vertical="center" wrapText="1"/>
    </xf>
    <xf numFmtId="0" fontId="0" fillId="0" borderId="0" xfId="0"/>
    <xf numFmtId="0" fontId="24" fillId="0" borderId="37" xfId="0" quotePrefix="1" applyFont="1" applyFill="1" applyBorder="1" applyAlignment="1">
      <alignment horizontal="center" vertical="center" wrapText="1"/>
    </xf>
    <xf numFmtId="3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vertical="top" textRotation="255"/>
    </xf>
    <xf numFmtId="10" fontId="67" fillId="0" borderId="13" xfId="42" applyNumberFormat="1" applyFont="1" applyBorder="1" applyAlignment="1">
      <alignment horizontal="center" vertical="center"/>
    </xf>
    <xf numFmtId="0" fontId="32" fillId="0" borderId="37" xfId="0" applyFont="1" applyFill="1" applyBorder="1" applyAlignment="1">
      <alignment vertical="top" textRotation="255"/>
    </xf>
    <xf numFmtId="10" fontId="49" fillId="0" borderId="37" xfId="42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2" fontId="42" fillId="0" borderId="13" xfId="0" applyNumberFormat="1" applyFont="1" applyFill="1" applyBorder="1" applyAlignment="1">
      <alignment horizontal="center" vertical="center" wrapText="1"/>
    </xf>
    <xf numFmtId="0" fontId="24" fillId="0" borderId="37" xfId="46" applyFont="1" applyFill="1" applyBorder="1" applyAlignment="1">
      <alignment horizontal="center" vertical="center" wrapText="1"/>
    </xf>
    <xf numFmtId="43" fontId="34" fillId="0" borderId="0" xfId="0" applyNumberFormat="1" applyFont="1" applyAlignment="1">
      <alignment horizontal="center" vertical="center"/>
    </xf>
    <xf numFmtId="14" fontId="24" fillId="0" borderId="27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14" fontId="24" fillId="0" borderId="37" xfId="46" applyNumberFormat="1" applyFont="1" applyFill="1" applyBorder="1" applyAlignment="1">
      <alignment horizontal="center" vertical="center" wrapText="1"/>
    </xf>
    <xf numFmtId="0" fontId="29" fillId="0" borderId="44" xfId="28" applyNumberFormat="1" applyFont="1" applyBorder="1" applyAlignment="1">
      <alignment horizontal="center" vertical="center"/>
    </xf>
    <xf numFmtId="0" fontId="0" fillId="0" borderId="0" xfId="0"/>
    <xf numFmtId="10" fontId="68" fillId="0" borderId="13" xfId="42" applyNumberFormat="1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 wrapText="1"/>
    </xf>
    <xf numFmtId="3" fontId="39" fillId="0" borderId="55" xfId="0" applyNumberFormat="1" applyFont="1" applyBorder="1" applyAlignment="1">
      <alignment horizontal="center" vertical="center"/>
    </xf>
    <xf numFmtId="164" fontId="39" fillId="0" borderId="55" xfId="0" applyNumberFormat="1" applyFont="1" applyBorder="1" applyAlignment="1">
      <alignment horizontal="center" vertical="center"/>
    </xf>
    <xf numFmtId="164" fontId="0" fillId="0" borderId="55" xfId="0" applyNumberFormat="1" applyBorder="1"/>
    <xf numFmtId="0" fontId="0" fillId="0" borderId="0" xfId="0"/>
    <xf numFmtId="0" fontId="0" fillId="0" borderId="0" xfId="0"/>
    <xf numFmtId="0" fontId="21" fillId="0" borderId="0" xfId="0" applyFont="1"/>
    <xf numFmtId="0" fontId="65" fillId="0" borderId="37" xfId="0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/>
    <xf numFmtId="0" fontId="0" fillId="0" borderId="0" xfId="0" applyFill="1"/>
    <xf numFmtId="44" fontId="44" fillId="0" borderId="0" xfId="0" applyNumberFormat="1" applyFont="1" applyAlignment="1">
      <alignment horizontal="center" vertical="center"/>
    </xf>
    <xf numFmtId="44" fontId="22" fillId="0" borderId="0" xfId="0" applyNumberFormat="1" applyFont="1" applyAlignment="1">
      <alignment horizontal="center" vertical="center"/>
    </xf>
    <xf numFmtId="164" fontId="22" fillId="0" borderId="27" xfId="0" applyNumberFormat="1" applyFont="1" applyFill="1" applyBorder="1" applyAlignment="1">
      <alignment horizontal="center" vertical="center"/>
    </xf>
    <xf numFmtId="0" fontId="24" fillId="0" borderId="13" xfId="0" quotePrefix="1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top" textRotation="255"/>
    </xf>
    <xf numFmtId="10" fontId="49" fillId="0" borderId="13" xfId="42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vertical="center" wrapText="1"/>
    </xf>
    <xf numFmtId="2" fontId="24" fillId="19" borderId="13" xfId="0" applyNumberFormat="1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51" fillId="0" borderId="0" xfId="0" applyFont="1" applyFill="1"/>
    <xf numFmtId="0" fontId="22" fillId="0" borderId="0" xfId="0" applyFont="1" applyFill="1"/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2" fontId="24" fillId="0" borderId="13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wrapText="1"/>
    </xf>
    <xf numFmtId="2" fontId="24" fillId="0" borderId="37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1" fillId="0" borderId="0" xfId="0" applyFont="1"/>
    <xf numFmtId="0" fontId="0" fillId="0" borderId="0" xfId="0"/>
    <xf numFmtId="0" fontId="1" fillId="0" borderId="13" xfId="0" applyFont="1" applyFill="1" applyBorder="1" applyAlignment="1">
      <alignment vertical="top" textRotation="255"/>
    </xf>
    <xf numFmtId="0" fontId="1" fillId="0" borderId="37" xfId="0" applyFont="1" applyFill="1" applyBorder="1" applyAlignment="1">
      <alignment vertical="top" textRotation="255"/>
    </xf>
    <xf numFmtId="14" fontId="35" fillId="0" borderId="37" xfId="0" applyNumberFormat="1" applyFont="1" applyFill="1" applyBorder="1" applyAlignment="1">
      <alignment horizontal="center" vertical="center"/>
    </xf>
    <xf numFmtId="0" fontId="35" fillId="0" borderId="3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textRotation="255"/>
    </xf>
    <xf numFmtId="0" fontId="21" fillId="0" borderId="0" xfId="0" applyFont="1"/>
    <xf numFmtId="0" fontId="22" fillId="0" borderId="13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/>
    <xf numFmtId="14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7" fontId="24" fillId="0" borderId="13" xfId="0" applyNumberFormat="1" applyFont="1" applyFill="1" applyBorder="1" applyAlignment="1">
      <alignment horizontal="center" vertical="center"/>
    </xf>
    <xf numFmtId="1" fontId="22" fillId="0" borderId="13" xfId="28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24" fillId="19" borderId="13" xfId="0" quotePrefix="1" applyFont="1" applyFill="1" applyBorder="1" applyAlignment="1">
      <alignment horizontal="center" vertical="center" wrapText="1"/>
    </xf>
    <xf numFmtId="0" fontId="24" fillId="19" borderId="37" xfId="0" applyFont="1" applyFill="1" applyBorder="1" applyAlignment="1">
      <alignment horizontal="center" vertical="center"/>
    </xf>
    <xf numFmtId="0" fontId="65" fillId="0" borderId="13" xfId="0" quotePrefix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164" fontId="24" fillId="21" borderId="37" xfId="0" applyNumberFormat="1" applyFont="1" applyFill="1" applyBorder="1" applyAlignment="1">
      <alignment horizontal="center" vertical="center"/>
    </xf>
    <xf numFmtId="164" fontId="22" fillId="21" borderId="37" xfId="0" applyNumberFormat="1" applyFont="1" applyFill="1" applyBorder="1" applyAlignment="1">
      <alignment horizontal="center" vertical="center"/>
    </xf>
    <xf numFmtId="0" fontId="1" fillId="0" borderId="37" xfId="0" applyFont="1" applyBorder="1"/>
    <xf numFmtId="10" fontId="22" fillId="21" borderId="37" xfId="42" applyNumberFormat="1" applyFont="1" applyFill="1" applyBorder="1" applyAlignment="1">
      <alignment horizontal="center" vertical="center"/>
    </xf>
    <xf numFmtId="164" fontId="24" fillId="19" borderId="37" xfId="0" applyNumberFormat="1" applyFont="1" applyFill="1" applyBorder="1" applyAlignment="1">
      <alignment horizontal="center" vertical="center"/>
    </xf>
    <xf numFmtId="164" fontId="22" fillId="19" borderId="37" xfId="0" applyNumberFormat="1" applyFont="1" applyFill="1" applyBorder="1" applyAlignment="1">
      <alignment horizontal="center" vertical="center"/>
    </xf>
    <xf numFmtId="10" fontId="49" fillId="19" borderId="37" xfId="42" applyNumberFormat="1" applyFont="1" applyFill="1" applyBorder="1" applyAlignment="1">
      <alignment horizontal="center" vertical="center"/>
    </xf>
    <xf numFmtId="0" fontId="0" fillId="0" borderId="0" xfId="0"/>
    <xf numFmtId="1" fontId="24" fillId="0" borderId="13" xfId="28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14" fontId="24" fillId="0" borderId="27" xfId="0" applyNumberFormat="1" applyFont="1" applyFill="1" applyBorder="1" applyAlignment="1">
      <alignment horizontal="center" vertical="center" wrapText="1"/>
    </xf>
    <xf numFmtId="2" fontId="24" fillId="0" borderId="27" xfId="0" applyNumberFormat="1" applyFont="1" applyFill="1" applyBorder="1" applyAlignment="1">
      <alignment horizontal="center" vertical="center" wrapText="1"/>
    </xf>
    <xf numFmtId="164" fontId="24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textRotation="255"/>
    </xf>
    <xf numFmtId="164" fontId="22" fillId="0" borderId="16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left" vertical="center" wrapText="1"/>
    </xf>
    <xf numFmtId="14" fontId="24" fillId="0" borderId="37" xfId="0" applyNumberFormat="1" applyFont="1" applyFill="1" applyBorder="1" applyAlignment="1">
      <alignment horizontal="center" vertical="center" wrapText="1"/>
    </xf>
    <xf numFmtId="164" fontId="24" fillId="0" borderId="38" xfId="0" applyNumberFormat="1" applyFont="1" applyFill="1" applyBorder="1" applyAlignment="1">
      <alignment horizontal="center" vertical="center"/>
    </xf>
    <xf numFmtId="164" fontId="22" fillId="0" borderId="38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2" fontId="29" fillId="0" borderId="44" xfId="28" applyNumberFormat="1" applyFont="1" applyFill="1" applyBorder="1" applyAlignment="1">
      <alignment horizontal="center" vertical="center" wrapText="1"/>
    </xf>
    <xf numFmtId="14" fontId="24" fillId="19" borderId="37" xfId="46" applyNumberFormat="1" applyFont="1" applyFill="1" applyBorder="1" applyAlignment="1">
      <alignment horizontal="center" vertical="center" wrapText="1"/>
    </xf>
    <xf numFmtId="0" fontId="24" fillId="19" borderId="37" xfId="46" applyFont="1" applyFill="1" applyBorder="1" applyAlignment="1">
      <alignment horizontal="center" vertical="center" wrapText="1"/>
    </xf>
    <xf numFmtId="0" fontId="32" fillId="19" borderId="37" xfId="0" applyFont="1" applyFill="1" applyBorder="1" applyAlignment="1">
      <alignment vertical="top" textRotation="255"/>
    </xf>
    <xf numFmtId="43" fontId="29" fillId="0" borderId="0" xfId="0" applyNumberFormat="1" applyFont="1" applyAlignment="1">
      <alignment vertical="center"/>
    </xf>
    <xf numFmtId="44" fontId="29" fillId="0" borderId="44" xfId="29" applyFont="1" applyBorder="1" applyAlignment="1">
      <alignment horizontal="center" vertical="center"/>
    </xf>
    <xf numFmtId="44" fontId="32" fillId="0" borderId="44" xfId="29" applyFont="1" applyBorder="1" applyAlignment="1">
      <alignment vertical="top" textRotation="255"/>
    </xf>
    <xf numFmtId="10" fontId="34" fillId="0" borderId="0" xfId="42" applyNumberFormat="1" applyFont="1" applyFill="1" applyAlignment="1">
      <alignment horizontal="center" vertical="center"/>
    </xf>
    <xf numFmtId="164" fontId="29" fillId="0" borderId="44" xfId="29" applyNumberFormat="1" applyFont="1" applyBorder="1" applyAlignment="1">
      <alignment horizontal="center" vertical="center"/>
    </xf>
    <xf numFmtId="10" fontId="50" fillId="0" borderId="13" xfId="42" applyNumberFormat="1" applyFont="1" applyFill="1" applyBorder="1" applyAlignment="1">
      <alignment horizontal="center" vertical="center"/>
    </xf>
    <xf numFmtId="10" fontId="51" fillId="19" borderId="13" xfId="42" applyNumberFormat="1" applyFont="1" applyFill="1" applyBorder="1" applyAlignment="1">
      <alignment horizontal="center" vertical="center"/>
    </xf>
    <xf numFmtId="10" fontId="50" fillId="19" borderId="13" xfId="42" applyNumberFormat="1" applyFont="1" applyFill="1" applyBorder="1" applyAlignment="1">
      <alignment horizontal="center" vertical="center"/>
    </xf>
    <xf numFmtId="10" fontId="29" fillId="0" borderId="0" xfId="42" applyNumberFormat="1" applyFont="1" applyFill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4" fillId="0" borderId="37" xfId="0" applyFont="1" applyFill="1" applyBorder="1" applyAlignment="1">
      <alignment horizontal="center" vertical="center" wrapText="1"/>
    </xf>
    <xf numFmtId="44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164" fontId="22" fillId="0" borderId="0" xfId="0" applyNumberFormat="1" applyFont="1" applyFill="1" applyBorder="1"/>
    <xf numFmtId="0" fontId="22" fillId="0" borderId="0" xfId="0" applyFont="1" applyFill="1" applyBorder="1"/>
    <xf numFmtId="14" fontId="69" fillId="0" borderId="13" xfId="0" applyNumberFormat="1" applyFont="1" applyBorder="1" applyAlignment="1">
      <alignment vertical="center"/>
    </xf>
    <xf numFmtId="0" fontId="1" fillId="0" borderId="0" xfId="0" applyFont="1"/>
    <xf numFmtId="14" fontId="62" fillId="0" borderId="13" xfId="0" applyNumberFormat="1" applyFont="1" applyBorder="1" applyAlignment="1">
      <alignment vertical="center"/>
    </xf>
    <xf numFmtId="165" fontId="24" fillId="0" borderId="27" xfId="28" applyNumberFormat="1" applyFont="1" applyBorder="1" applyAlignment="1">
      <alignment horizontal="center" vertical="center"/>
    </xf>
    <xf numFmtId="164" fontId="24" fillId="0" borderId="66" xfId="0" applyNumberFormat="1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2" fontId="22" fillId="0" borderId="37" xfId="0" applyNumberFormat="1" applyFont="1" applyBorder="1" applyAlignment="1">
      <alignment horizontal="center" vertical="center"/>
    </xf>
    <xf numFmtId="0" fontId="59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2" fontId="59" fillId="0" borderId="13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/>
    </xf>
    <xf numFmtId="14" fontId="70" fillId="0" borderId="27" xfId="0" applyNumberFormat="1" applyFont="1" applyBorder="1" applyAlignment="1">
      <alignment vertical="center"/>
    </xf>
    <xf numFmtId="0" fontId="24" fillId="0" borderId="0" xfId="0" applyFont="1"/>
    <xf numFmtId="0" fontId="21" fillId="0" borderId="0" xfId="0" applyFont="1"/>
    <xf numFmtId="0" fontId="31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Border="1"/>
    <xf numFmtId="0" fontId="27" fillId="0" borderId="13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14" fontId="70" fillId="0" borderId="27" xfId="0" applyNumberFormat="1" applyFont="1" applyFill="1" applyBorder="1" applyAlignment="1">
      <alignment vertical="center"/>
    </xf>
    <xf numFmtId="3" fontId="29" fillId="0" borderId="37" xfId="0" applyNumberFormat="1" applyFont="1" applyFill="1" applyBorder="1" applyAlignment="1">
      <alignment horizontal="center" vertical="center"/>
    </xf>
    <xf numFmtId="168" fontId="29" fillId="0" borderId="13" xfId="0" applyNumberFormat="1" applyFont="1" applyFill="1" applyBorder="1" applyAlignment="1">
      <alignment horizontal="center" vertical="center" wrapText="1"/>
    </xf>
    <xf numFmtId="14" fontId="29" fillId="0" borderId="37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0" fillId="0" borderId="17" xfId="0" applyBorder="1"/>
    <xf numFmtId="0" fontId="20" fillId="0" borderId="0" xfId="0" applyFont="1" applyBorder="1" applyAlignment="1">
      <alignment horizontal="center"/>
    </xf>
    <xf numFmtId="2" fontId="24" fillId="0" borderId="26" xfId="28" applyNumberFormat="1" applyFont="1" applyFill="1" applyBorder="1" applyAlignment="1">
      <alignment horizontal="center" vertical="center" wrapText="1"/>
    </xf>
    <xf numFmtId="164" fontId="29" fillId="0" borderId="37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164" fontId="29" fillId="0" borderId="69" xfId="0" applyNumberFormat="1" applyFont="1" applyBorder="1" applyAlignment="1">
      <alignment horizontal="center" vertical="center"/>
    </xf>
    <xf numFmtId="164" fontId="29" fillId="0" borderId="53" xfId="0" applyNumberFormat="1" applyFont="1" applyBorder="1" applyAlignment="1">
      <alignment horizontal="center" vertical="center"/>
    </xf>
    <xf numFmtId="14" fontId="69" fillId="0" borderId="27" xfId="0" applyNumberFormat="1" applyFont="1" applyBorder="1" applyAlignment="1">
      <alignment vertical="center"/>
    </xf>
    <xf numFmtId="164" fontId="29" fillId="0" borderId="3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left" vertical="center" wrapText="1"/>
    </xf>
    <xf numFmtId="2" fontId="29" fillId="0" borderId="68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43" fontId="29" fillId="0" borderId="44" xfId="28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9" fillId="19" borderId="67" xfId="0" applyFont="1" applyFill="1" applyBorder="1" applyAlignment="1">
      <alignment horizontal="center" vertical="center" wrapText="1"/>
    </xf>
    <xf numFmtId="0" fontId="26" fillId="0" borderId="38" xfId="0" applyFont="1" applyBorder="1"/>
    <xf numFmtId="0" fontId="26" fillId="0" borderId="38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43" fontId="24" fillId="0" borderId="13" xfId="28" applyFont="1" applyBorder="1" applyAlignment="1">
      <alignment horizontal="center" vertical="center"/>
    </xf>
    <xf numFmtId="164" fontId="24" fillId="0" borderId="27" xfId="28" applyNumberFormat="1" applyFont="1" applyBorder="1" applyAlignment="1">
      <alignment horizontal="center" vertical="center"/>
    </xf>
    <xf numFmtId="43" fontId="24" fillId="0" borderId="0" xfId="28" applyFont="1" applyFill="1" applyBorder="1" applyAlignment="1">
      <alignment horizontal="center" vertical="center"/>
    </xf>
    <xf numFmtId="164" fontId="24" fillId="0" borderId="13" xfId="28" applyNumberFormat="1" applyFont="1" applyBorder="1" applyAlignment="1">
      <alignment horizontal="center" vertical="center"/>
    </xf>
    <xf numFmtId="43" fontId="24" fillId="0" borderId="13" xfId="28" applyFont="1" applyFill="1" applyBorder="1" applyAlignment="1">
      <alignment horizontal="center" vertical="center"/>
    </xf>
    <xf numFmtId="164" fontId="24" fillId="0" borderId="13" xfId="28" applyNumberFormat="1" applyFont="1" applyFill="1" applyBorder="1" applyAlignment="1">
      <alignment horizontal="center" vertical="center"/>
    </xf>
    <xf numFmtId="43" fontId="24" fillId="0" borderId="0" xfId="28" applyFont="1" applyBorder="1" applyAlignment="1">
      <alignment horizontal="center" vertical="center"/>
    </xf>
    <xf numFmtId="164" fontId="24" fillId="22" borderId="27" xfId="0" applyNumberFormat="1" applyFont="1" applyFill="1" applyBorder="1" applyAlignment="1" applyProtection="1">
      <alignment horizontal="center" vertical="center"/>
      <protection locked="0"/>
    </xf>
    <xf numFmtId="164" fontId="24" fillId="22" borderId="13" xfId="0" applyNumberFormat="1" applyFont="1" applyFill="1" applyBorder="1" applyAlignment="1" applyProtection="1">
      <alignment horizontal="center" vertical="center"/>
      <protection locked="0"/>
    </xf>
    <xf numFmtId="164" fontId="24" fillId="22" borderId="37" xfId="0" applyNumberFormat="1" applyFont="1" applyFill="1" applyBorder="1" applyAlignment="1" applyProtection="1">
      <alignment horizontal="center" vertical="center"/>
      <protection locked="0"/>
    </xf>
    <xf numFmtId="164" fontId="29" fillId="22" borderId="37" xfId="0" applyNumberFormat="1" applyFont="1" applyFill="1" applyBorder="1" applyAlignment="1" applyProtection="1">
      <alignment horizontal="center" vertical="center"/>
      <protection locked="0"/>
    </xf>
    <xf numFmtId="164" fontId="29" fillId="22" borderId="39" xfId="0" applyNumberFormat="1" applyFont="1" applyFill="1" applyBorder="1" applyAlignment="1" applyProtection="1">
      <alignment horizontal="center" vertical="center"/>
      <protection locked="0"/>
    </xf>
    <xf numFmtId="164" fontId="29" fillId="22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/>
    <xf numFmtId="0" fontId="71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0" fillId="0" borderId="0" xfId="0"/>
    <xf numFmtId="0" fontId="29" fillId="0" borderId="13" xfId="0" applyFont="1" applyBorder="1" applyAlignment="1">
      <alignment horizontal="left" vertical="center" wrapText="1"/>
    </xf>
    <xf numFmtId="14" fontId="24" fillId="0" borderId="37" xfId="46" applyNumberFormat="1" applyFont="1" applyBorder="1" applyAlignment="1">
      <alignment horizontal="center" vertical="center" wrapText="1"/>
    </xf>
    <xf numFmtId="0" fontId="24" fillId="0" borderId="37" xfId="46" applyFont="1" applyBorder="1" applyAlignment="1">
      <alignment horizontal="center" vertical="center" wrapText="1"/>
    </xf>
    <xf numFmtId="164" fontId="29" fillId="23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1" fillId="0" borderId="0" xfId="0" applyFont="1"/>
    <xf numFmtId="0" fontId="26" fillId="0" borderId="63" xfId="0" applyFont="1" applyBorder="1" applyAlignment="1">
      <alignment horizontal="right" vertical="center" wrapText="1"/>
    </xf>
    <xf numFmtId="0" fontId="26" fillId="0" borderId="64" xfId="0" applyFont="1" applyBorder="1" applyAlignment="1">
      <alignment horizontal="right" vertical="center" wrapText="1"/>
    </xf>
    <xf numFmtId="0" fontId="26" fillId="0" borderId="65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0" fillId="0" borderId="10" xfId="0" applyBorder="1"/>
    <xf numFmtId="0" fontId="31" fillId="0" borderId="0" xfId="0" applyFont="1" applyAlignment="1">
      <alignment horizontal="left"/>
    </xf>
    <xf numFmtId="0" fontId="0" fillId="0" borderId="0" xfId="0"/>
    <xf numFmtId="0" fontId="29" fillId="0" borderId="0" xfId="0" applyFont="1"/>
    <xf numFmtId="0" fontId="27" fillId="0" borderId="10" xfId="0" applyFont="1" applyBorder="1" applyAlignment="1">
      <alignment horizontal="left" wrapText="1"/>
    </xf>
    <xf numFmtId="0" fontId="29" fillId="19" borderId="0" xfId="0" applyFont="1" applyFill="1"/>
    <xf numFmtId="0" fontId="0" fillId="19" borderId="0" xfId="0" applyFill="1"/>
    <xf numFmtId="0" fontId="29" fillId="0" borderId="0" xfId="0" applyFont="1" applyFill="1"/>
    <xf numFmtId="0" fontId="0" fillId="0" borderId="0" xfId="0" applyFill="1"/>
    <xf numFmtId="0" fontId="0" fillId="0" borderId="0" xfId="0" applyBorder="1"/>
    <xf numFmtId="0" fontId="29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22" borderId="13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22" borderId="16" xfId="0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/>
    </xf>
    <xf numFmtId="0" fontId="27" fillId="22" borderId="15" xfId="0" applyFont="1" applyFill="1" applyBorder="1" applyAlignment="1">
      <alignment horizontal="center" vertical="center"/>
    </xf>
    <xf numFmtId="14" fontId="62" fillId="0" borderId="41" xfId="0" applyNumberFormat="1" applyFont="1" applyBorder="1" applyAlignment="1">
      <alignment horizontal="center" vertical="center" wrapText="1"/>
    </xf>
    <xf numFmtId="14" fontId="62" fillId="0" borderId="49" xfId="0" applyNumberFormat="1" applyFont="1" applyBorder="1" applyAlignment="1">
      <alignment horizontal="center" vertical="center" wrapText="1"/>
    </xf>
    <xf numFmtId="14" fontId="62" fillId="0" borderId="16" xfId="0" applyNumberFormat="1" applyFont="1" applyBorder="1" applyAlignment="1">
      <alignment horizontal="center" vertical="center" wrapText="1"/>
    </xf>
    <xf numFmtId="14" fontId="62" fillId="0" borderId="1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45" fillId="18" borderId="0" xfId="0" applyFont="1" applyFill="1" applyAlignment="1">
      <alignment horizontal="center" wrapText="1"/>
    </xf>
    <xf numFmtId="0" fontId="40" fillId="22" borderId="52" xfId="0" applyFont="1" applyFill="1" applyBorder="1" applyAlignment="1" applyProtection="1">
      <alignment horizontal="center" vertical="center"/>
      <protection locked="0"/>
    </xf>
    <xf numFmtId="0" fontId="40" fillId="22" borderId="53" xfId="0" applyFont="1" applyFill="1" applyBorder="1" applyAlignment="1" applyProtection="1">
      <alignment horizontal="center" vertical="center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6" xr:uid="{3368A10A-288A-46F7-A536-6EC137101575}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0"/>
  <sheetViews>
    <sheetView zoomScale="60" zoomScaleNormal="60" workbookViewId="0">
      <selection activeCell="P17" sqref="P17"/>
    </sheetView>
  </sheetViews>
  <sheetFormatPr defaultRowHeight="12.75" x14ac:dyDescent="0.2"/>
  <cols>
    <col min="1" max="1" width="10.7109375" style="4" customWidth="1"/>
    <col min="2" max="2" width="22.7109375" customWidth="1"/>
    <col min="3" max="3" width="34.140625" customWidth="1"/>
    <col min="4" max="4" width="78.85546875" customWidth="1"/>
    <col min="5" max="5" width="15.5703125" bestFit="1" customWidth="1"/>
    <col min="6" max="6" width="100.7109375" customWidth="1"/>
    <col min="7" max="7" width="10.28515625" customWidth="1"/>
    <col min="8" max="8" width="9.42578125" customWidth="1"/>
    <col min="9" max="9" width="14.7109375" customWidth="1"/>
    <col min="10" max="10" width="5.7109375" customWidth="1"/>
    <col min="11" max="11" width="20.7109375" customWidth="1"/>
    <col min="14" max="14" width="11.5703125" customWidth="1"/>
    <col min="17" max="17" width="11.28515625" customWidth="1"/>
    <col min="18" max="18" width="18.85546875" customWidth="1"/>
  </cols>
  <sheetData>
    <row r="1" spans="1:15" ht="35.1" customHeight="1" x14ac:dyDescent="0.5">
      <c r="A1" s="854" t="s">
        <v>53</v>
      </c>
      <c r="B1" s="855"/>
      <c r="C1" s="855"/>
      <c r="D1" s="855"/>
      <c r="I1" s="1"/>
      <c r="J1" s="1"/>
      <c r="K1" s="1"/>
    </row>
    <row r="2" spans="1:15" ht="9.9499999999999993" customHeight="1" x14ac:dyDescent="0.5">
      <c r="A2" s="39"/>
      <c r="B2" s="40"/>
      <c r="C2" s="41"/>
      <c r="D2" s="41"/>
      <c r="E2" s="41"/>
      <c r="F2" s="41"/>
      <c r="G2" s="41"/>
      <c r="H2" s="41"/>
      <c r="I2" s="42"/>
      <c r="J2" s="42"/>
      <c r="K2" s="42"/>
    </row>
    <row r="3" spans="1:15" ht="35.1" customHeight="1" thickBot="1" x14ac:dyDescent="0.45">
      <c r="A3" s="852" t="s">
        <v>42</v>
      </c>
      <c r="B3" s="852"/>
      <c r="C3" s="852"/>
      <c r="D3" s="853"/>
      <c r="E3" s="853"/>
      <c r="F3" s="853"/>
      <c r="G3" s="853"/>
      <c r="H3" s="853"/>
      <c r="I3" s="55"/>
      <c r="J3" s="55"/>
      <c r="K3" s="55"/>
    </row>
    <row r="4" spans="1:15" ht="24.95" customHeight="1" x14ac:dyDescent="0.4">
      <c r="A4" s="38"/>
      <c r="B4" s="38"/>
      <c r="C4" s="38"/>
      <c r="E4" s="37" t="s">
        <v>24</v>
      </c>
      <c r="I4" s="1"/>
      <c r="J4" s="1"/>
      <c r="K4" s="1"/>
      <c r="N4" s="209">
        <f>+N6+N34+N54+N77+N97</f>
        <v>22108</v>
      </c>
      <c r="O4" s="210" t="s">
        <v>173</v>
      </c>
    </row>
    <row r="5" spans="1:15" ht="24.95" customHeight="1" x14ac:dyDescent="0.35">
      <c r="A5" s="37" t="s">
        <v>7</v>
      </c>
      <c r="B5" s="75" t="s">
        <v>0</v>
      </c>
      <c r="C5" s="75" t="s">
        <v>1</v>
      </c>
      <c r="D5" s="75" t="s">
        <v>6</v>
      </c>
      <c r="E5" s="37" t="s">
        <v>25</v>
      </c>
      <c r="F5" s="75" t="s">
        <v>2</v>
      </c>
      <c r="G5" s="37" t="s">
        <v>16</v>
      </c>
      <c r="H5" s="75" t="s">
        <v>8</v>
      </c>
      <c r="I5" s="75" t="s">
        <v>3</v>
      </c>
      <c r="J5" s="37"/>
      <c r="K5" s="37" t="s">
        <v>4</v>
      </c>
    </row>
    <row r="6" spans="1:15" ht="30" customHeight="1" x14ac:dyDescent="0.25">
      <c r="A6" s="88" t="s">
        <v>83</v>
      </c>
      <c r="B6" s="89" t="s">
        <v>15</v>
      </c>
      <c r="C6" s="89" t="s">
        <v>81</v>
      </c>
      <c r="D6" s="89" t="s">
        <v>82</v>
      </c>
      <c r="E6" s="90">
        <v>1.03</v>
      </c>
      <c r="F6" s="89" t="s">
        <v>96</v>
      </c>
      <c r="G6" s="138">
        <v>1125</v>
      </c>
      <c r="H6" s="91" t="s">
        <v>11</v>
      </c>
      <c r="I6" s="92"/>
      <c r="J6" s="93"/>
      <c r="K6" s="92"/>
      <c r="N6" s="207">
        <f>SUM(G6:G17)</f>
        <v>4408</v>
      </c>
      <c r="O6" s="208" t="s">
        <v>173</v>
      </c>
    </row>
    <row r="7" spans="1:15" ht="24.95" customHeight="1" x14ac:dyDescent="0.25">
      <c r="A7" s="94" t="s">
        <v>84</v>
      </c>
      <c r="B7" s="95" t="s">
        <v>88</v>
      </c>
      <c r="C7" s="95" t="s">
        <v>36</v>
      </c>
      <c r="D7" s="95" t="s">
        <v>85</v>
      </c>
      <c r="E7" s="96">
        <v>1.02</v>
      </c>
      <c r="F7" s="95" t="s">
        <v>37</v>
      </c>
      <c r="G7" s="97">
        <v>152</v>
      </c>
      <c r="H7" s="97" t="s">
        <v>23</v>
      </c>
      <c r="I7" s="92"/>
      <c r="J7" s="93"/>
      <c r="K7" s="92"/>
    </row>
    <row r="8" spans="1:15" ht="30" customHeight="1" x14ac:dyDescent="0.25">
      <c r="A8" s="88" t="s">
        <v>86</v>
      </c>
      <c r="B8" s="89" t="s">
        <v>15</v>
      </c>
      <c r="C8" s="89" t="s">
        <v>87</v>
      </c>
      <c r="D8" s="89" t="s">
        <v>89</v>
      </c>
      <c r="E8" s="90">
        <v>0.14000000000000001</v>
      </c>
      <c r="F8" s="89" t="s">
        <v>96</v>
      </c>
      <c r="G8" s="91">
        <v>182</v>
      </c>
      <c r="H8" s="91" t="s">
        <v>11</v>
      </c>
      <c r="I8" s="98"/>
      <c r="J8" s="98"/>
      <c r="K8" s="98"/>
      <c r="L8" s="7"/>
    </row>
    <row r="9" spans="1:15" ht="30" customHeight="1" x14ac:dyDescent="0.25">
      <c r="A9" s="88" t="s">
        <v>90</v>
      </c>
      <c r="B9" s="89" t="s">
        <v>15</v>
      </c>
      <c r="C9" s="89" t="s">
        <v>91</v>
      </c>
      <c r="D9" s="143" t="s">
        <v>92</v>
      </c>
      <c r="E9" s="90">
        <v>0.41</v>
      </c>
      <c r="F9" s="89" t="s">
        <v>96</v>
      </c>
      <c r="G9" s="91">
        <v>498</v>
      </c>
      <c r="H9" s="91" t="s">
        <v>11</v>
      </c>
      <c r="I9" s="98"/>
      <c r="J9" s="98"/>
      <c r="K9" s="98"/>
      <c r="L9" s="7"/>
    </row>
    <row r="10" spans="1:15" ht="30" customHeight="1" x14ac:dyDescent="0.25">
      <c r="A10" s="88" t="s">
        <v>93</v>
      </c>
      <c r="B10" s="89" t="s">
        <v>15</v>
      </c>
      <c r="C10" s="89" t="s">
        <v>94</v>
      </c>
      <c r="D10" s="89" t="s">
        <v>95</v>
      </c>
      <c r="E10" s="90">
        <v>0.21</v>
      </c>
      <c r="F10" s="89" t="s">
        <v>96</v>
      </c>
      <c r="G10" s="91">
        <v>205</v>
      </c>
      <c r="H10" s="91" t="s">
        <v>11</v>
      </c>
      <c r="I10" s="98"/>
      <c r="J10" s="98"/>
      <c r="K10" s="98"/>
      <c r="L10" s="7"/>
    </row>
    <row r="11" spans="1:15" ht="30" customHeight="1" x14ac:dyDescent="0.25">
      <c r="A11" s="88" t="s">
        <v>97</v>
      </c>
      <c r="B11" s="89" t="s">
        <v>15</v>
      </c>
      <c r="C11" s="89" t="s">
        <v>98</v>
      </c>
      <c r="D11" s="89" t="s">
        <v>99</v>
      </c>
      <c r="E11" s="90">
        <v>0.13</v>
      </c>
      <c r="F11" s="89" t="s">
        <v>96</v>
      </c>
      <c r="G11" s="91">
        <v>124</v>
      </c>
      <c r="H11" s="91" t="s">
        <v>11</v>
      </c>
      <c r="I11" s="92"/>
      <c r="J11" s="92"/>
      <c r="K11" s="92"/>
    </row>
    <row r="12" spans="1:15" ht="30" customHeight="1" x14ac:dyDescent="0.25">
      <c r="A12" s="88" t="s">
        <v>100</v>
      </c>
      <c r="B12" s="89" t="s">
        <v>15</v>
      </c>
      <c r="C12" s="89" t="s">
        <v>101</v>
      </c>
      <c r="D12" s="89" t="s">
        <v>102</v>
      </c>
      <c r="E12" s="90">
        <v>0.3</v>
      </c>
      <c r="F12" s="89" t="s">
        <v>96</v>
      </c>
      <c r="G12" s="91">
        <v>295</v>
      </c>
      <c r="H12" s="91" t="s">
        <v>11</v>
      </c>
      <c r="I12" s="92"/>
      <c r="J12" s="92"/>
      <c r="K12" s="92"/>
    </row>
    <row r="13" spans="1:15" ht="39.950000000000003" customHeight="1" thickBot="1" x14ac:dyDescent="0.3">
      <c r="A13" s="183" t="s">
        <v>103</v>
      </c>
      <c r="B13" s="184" t="s">
        <v>15</v>
      </c>
      <c r="C13" s="184" t="s">
        <v>104</v>
      </c>
      <c r="D13" s="184" t="s">
        <v>105</v>
      </c>
      <c r="E13" s="185">
        <v>0.5</v>
      </c>
      <c r="F13" s="184" t="s">
        <v>96</v>
      </c>
      <c r="G13" s="186">
        <v>480</v>
      </c>
      <c r="H13" s="186" t="s">
        <v>11</v>
      </c>
      <c r="I13" s="187"/>
      <c r="J13" s="187"/>
      <c r="K13" s="187"/>
    </row>
    <row r="14" spans="1:15" ht="30" customHeight="1" x14ac:dyDescent="0.2">
      <c r="A14" s="149" t="s">
        <v>106</v>
      </c>
      <c r="B14" s="151" t="s">
        <v>5</v>
      </c>
      <c r="C14" s="151" t="s">
        <v>107</v>
      </c>
      <c r="D14" s="151" t="s">
        <v>108</v>
      </c>
      <c r="E14" s="152">
        <v>0.04</v>
      </c>
      <c r="F14" s="151" t="s">
        <v>109</v>
      </c>
      <c r="G14" s="154">
        <v>47</v>
      </c>
      <c r="H14" s="154" t="s">
        <v>11</v>
      </c>
      <c r="I14" s="194"/>
      <c r="J14" s="194"/>
      <c r="K14" s="195"/>
    </row>
    <row r="15" spans="1:15" ht="30" customHeight="1" thickBot="1" x14ac:dyDescent="0.3">
      <c r="A15" s="172"/>
      <c r="B15" s="173"/>
      <c r="C15" s="173"/>
      <c r="D15" s="173"/>
      <c r="E15" s="205"/>
      <c r="F15" s="128" t="s">
        <v>110</v>
      </c>
      <c r="G15" s="163"/>
      <c r="H15" s="163"/>
      <c r="I15" s="164"/>
      <c r="J15" s="164"/>
      <c r="K15" s="165"/>
    </row>
    <row r="16" spans="1:15" ht="30" customHeight="1" x14ac:dyDescent="0.25">
      <c r="A16" s="193" t="s">
        <v>106</v>
      </c>
      <c r="B16" s="145" t="s">
        <v>14</v>
      </c>
      <c r="C16" s="145" t="s">
        <v>111</v>
      </c>
      <c r="D16" s="145" t="s">
        <v>112</v>
      </c>
      <c r="E16" s="146">
        <v>0.68</v>
      </c>
      <c r="F16" s="145" t="s">
        <v>113</v>
      </c>
      <c r="G16" s="147">
        <v>720</v>
      </c>
      <c r="H16" s="147" t="s">
        <v>11</v>
      </c>
      <c r="I16" s="148"/>
      <c r="J16" s="148"/>
      <c r="K16" s="148"/>
    </row>
    <row r="17" spans="1:12" ht="30" customHeight="1" x14ac:dyDescent="0.25">
      <c r="A17" s="99" t="s">
        <v>106</v>
      </c>
      <c r="B17" s="89" t="s">
        <v>14</v>
      </c>
      <c r="C17" s="89" t="s">
        <v>114</v>
      </c>
      <c r="D17" s="89" t="s">
        <v>115</v>
      </c>
      <c r="E17" s="90">
        <v>0.39</v>
      </c>
      <c r="F17" s="89" t="s">
        <v>117</v>
      </c>
      <c r="G17" s="91">
        <v>580</v>
      </c>
      <c r="H17" s="91" t="s">
        <v>11</v>
      </c>
      <c r="I17" s="92"/>
      <c r="J17" s="92"/>
      <c r="K17" s="92"/>
    </row>
    <row r="18" spans="1:12" ht="30" customHeight="1" x14ac:dyDescent="0.25">
      <c r="A18" s="108"/>
      <c r="B18" s="109"/>
      <c r="C18" s="109"/>
      <c r="D18" s="109"/>
      <c r="E18" s="112"/>
      <c r="F18" s="89" t="s">
        <v>116</v>
      </c>
      <c r="G18" s="113"/>
      <c r="H18" s="114"/>
      <c r="I18" s="100"/>
      <c r="J18" s="100"/>
      <c r="K18" s="101"/>
    </row>
    <row r="19" spans="1:12" ht="30" customHeight="1" thickBot="1" x14ac:dyDescent="0.3">
      <c r="A19" s="28"/>
      <c r="B19" s="21"/>
      <c r="C19" s="21"/>
      <c r="D19" s="21"/>
      <c r="E19" s="22"/>
      <c r="F19" s="86"/>
      <c r="G19" s="9"/>
      <c r="H19" s="10"/>
      <c r="I19" s="9"/>
      <c r="J19" s="9"/>
      <c r="K19" s="9"/>
    </row>
    <row r="20" spans="1:12" ht="30" customHeight="1" thickBot="1" x14ac:dyDescent="0.4">
      <c r="A20" s="28"/>
      <c r="B20" s="21"/>
      <c r="C20" s="21"/>
      <c r="D20" s="2"/>
      <c r="E20" s="2"/>
      <c r="F20" s="131" t="s">
        <v>47</v>
      </c>
      <c r="G20" s="122" t="s">
        <v>8</v>
      </c>
      <c r="H20" s="122" t="s">
        <v>3</v>
      </c>
      <c r="I20" s="132"/>
      <c r="J20" s="133"/>
      <c r="K20" s="124" t="s">
        <v>4</v>
      </c>
    </row>
    <row r="21" spans="1:12" ht="30" customHeight="1" thickTop="1" x14ac:dyDescent="0.25">
      <c r="A21" s="28"/>
      <c r="B21" s="849" t="s">
        <v>48</v>
      </c>
      <c r="C21" s="850"/>
      <c r="D21" s="851"/>
      <c r="E21" s="2"/>
      <c r="F21" s="134" t="s">
        <v>61</v>
      </c>
      <c r="G21" s="139">
        <v>3500</v>
      </c>
      <c r="H21" s="91" t="s">
        <v>9</v>
      </c>
      <c r="I21" s="93"/>
      <c r="J21" s="93"/>
      <c r="K21" s="126"/>
    </row>
    <row r="22" spans="1:12" ht="30" customHeight="1" thickBot="1" x14ac:dyDescent="0.3">
      <c r="A22" s="28"/>
      <c r="B22" s="846" t="s">
        <v>49</v>
      </c>
      <c r="C22" s="847"/>
      <c r="D22" s="848"/>
      <c r="E22" s="2"/>
      <c r="F22" s="134" t="s">
        <v>62</v>
      </c>
      <c r="G22" s="139">
        <v>7500</v>
      </c>
      <c r="H22" s="91" t="s">
        <v>9</v>
      </c>
      <c r="I22" s="93"/>
      <c r="J22" s="93"/>
      <c r="K22" s="126"/>
    </row>
    <row r="23" spans="1:12" ht="30" customHeight="1" thickTop="1" thickBot="1" x14ac:dyDescent="0.3">
      <c r="A23" s="28"/>
      <c r="B23" s="844"/>
      <c r="C23" s="845"/>
      <c r="D23" s="79"/>
      <c r="E23" s="2"/>
      <c r="F23" s="134" t="s">
        <v>10</v>
      </c>
      <c r="G23" s="139">
        <v>25</v>
      </c>
      <c r="H23" s="91" t="s">
        <v>11</v>
      </c>
      <c r="I23" s="93"/>
      <c r="J23" s="93"/>
      <c r="K23" s="126"/>
    </row>
    <row r="24" spans="1:12" ht="30" customHeight="1" thickBot="1" x14ac:dyDescent="0.4">
      <c r="A24" s="28"/>
      <c r="B24" s="75"/>
      <c r="C24" s="75"/>
      <c r="D24" s="137" t="s">
        <v>76</v>
      </c>
      <c r="E24" s="87"/>
      <c r="F24" s="136" t="s">
        <v>12</v>
      </c>
      <c r="G24" s="139">
        <v>75</v>
      </c>
      <c r="H24" s="91" t="s">
        <v>11</v>
      </c>
      <c r="I24" s="93"/>
      <c r="J24" s="93"/>
      <c r="K24" s="126"/>
    </row>
    <row r="25" spans="1:12" ht="30" customHeight="1" x14ac:dyDescent="0.25">
      <c r="A25" s="28"/>
      <c r="B25" s="21"/>
      <c r="C25" s="21"/>
      <c r="D25" s="78"/>
      <c r="E25" s="2"/>
      <c r="F25" s="134" t="s">
        <v>13</v>
      </c>
      <c r="G25" s="139">
        <v>150</v>
      </c>
      <c r="H25" s="91" t="s">
        <v>11</v>
      </c>
      <c r="I25" s="93"/>
      <c r="J25" s="93"/>
      <c r="K25" s="126"/>
    </row>
    <row r="26" spans="1:12" ht="30" customHeight="1" thickBot="1" x14ac:dyDescent="0.3">
      <c r="A26" s="856" t="s">
        <v>66</v>
      </c>
      <c r="B26" s="855"/>
      <c r="C26" s="855"/>
      <c r="D26" s="855"/>
      <c r="E26" s="855"/>
      <c r="F26" s="135" t="s">
        <v>19</v>
      </c>
      <c r="G26" s="140">
        <v>250</v>
      </c>
      <c r="H26" s="142" t="s">
        <v>11</v>
      </c>
      <c r="I26" s="129"/>
      <c r="J26" s="129"/>
      <c r="K26" s="130"/>
    </row>
    <row r="27" spans="1:12" ht="9.9499999999999993" customHeight="1" x14ac:dyDescent="0.25">
      <c r="A27" s="35"/>
      <c r="B27" s="19"/>
      <c r="C27" s="19"/>
      <c r="F27" s="21"/>
      <c r="G27" s="7"/>
      <c r="H27" s="7"/>
      <c r="I27" s="7"/>
      <c r="J27" s="7"/>
      <c r="K27" s="9"/>
    </row>
    <row r="28" spans="1:12" ht="9.9499999999999993" customHeight="1" x14ac:dyDescent="0.25">
      <c r="A28" s="34"/>
      <c r="B28" s="44"/>
      <c r="C28" s="44"/>
      <c r="D28" s="45"/>
      <c r="E28" s="46"/>
      <c r="F28" s="46"/>
      <c r="G28" s="46"/>
      <c r="H28" s="46"/>
      <c r="I28" s="47"/>
      <c r="J28" s="41"/>
      <c r="K28" s="41"/>
    </row>
    <row r="29" spans="1:12" ht="35.1" customHeight="1" x14ac:dyDescent="0.5">
      <c r="A29" s="43" t="s">
        <v>54</v>
      </c>
      <c r="B29" s="19"/>
      <c r="C29" s="19"/>
      <c r="F29" s="21"/>
      <c r="G29" s="7"/>
      <c r="H29" s="7"/>
      <c r="I29" s="7"/>
      <c r="J29" s="7"/>
      <c r="K29" s="9"/>
    </row>
    <row r="30" spans="1:12" ht="9.9499999999999993" customHeight="1" x14ac:dyDescent="0.25">
      <c r="A30" s="34"/>
      <c r="B30" s="44"/>
      <c r="C30" s="44"/>
      <c r="D30" s="45"/>
      <c r="E30" s="46"/>
      <c r="F30" s="46"/>
      <c r="G30" s="46"/>
      <c r="H30" s="46"/>
      <c r="I30" s="47"/>
      <c r="J30" s="41"/>
      <c r="K30" s="41"/>
    </row>
    <row r="31" spans="1:12" ht="35.1" customHeight="1" thickBot="1" x14ac:dyDescent="0.45">
      <c r="A31" s="852" t="s">
        <v>43</v>
      </c>
      <c r="B31" s="852"/>
      <c r="C31" s="852"/>
      <c r="D31" s="853"/>
      <c r="E31" s="853"/>
      <c r="F31" s="853"/>
      <c r="G31" s="853"/>
      <c r="H31" s="853"/>
      <c r="I31" s="55"/>
      <c r="J31" s="55"/>
      <c r="K31" s="55"/>
      <c r="L31" s="105"/>
    </row>
    <row r="32" spans="1:12" ht="24.95" customHeight="1" x14ac:dyDescent="0.4">
      <c r="A32" s="38"/>
      <c r="B32" s="38"/>
      <c r="C32" s="38"/>
      <c r="E32" s="37" t="s">
        <v>24</v>
      </c>
      <c r="I32" s="1"/>
      <c r="J32" s="1"/>
      <c r="K32" s="1"/>
      <c r="L32" s="105"/>
    </row>
    <row r="33" spans="1:15" ht="24.95" customHeight="1" x14ac:dyDescent="0.35">
      <c r="A33" s="37" t="s">
        <v>7</v>
      </c>
      <c r="B33" s="75" t="s">
        <v>0</v>
      </c>
      <c r="C33" s="75" t="s">
        <v>1</v>
      </c>
      <c r="D33" s="75" t="s">
        <v>6</v>
      </c>
      <c r="E33" s="37" t="s">
        <v>25</v>
      </c>
      <c r="F33" s="75" t="s">
        <v>2</v>
      </c>
      <c r="G33" s="37" t="s">
        <v>16</v>
      </c>
      <c r="H33" s="75" t="s">
        <v>8</v>
      </c>
      <c r="I33" s="75" t="s">
        <v>3</v>
      </c>
      <c r="J33" s="37"/>
      <c r="K33" s="37" t="s">
        <v>4</v>
      </c>
      <c r="L33" s="105"/>
    </row>
    <row r="34" spans="1:15" s="2" customFormat="1" ht="36" customHeight="1" x14ac:dyDescent="0.25">
      <c r="A34" s="106" t="s">
        <v>30</v>
      </c>
      <c r="B34" s="95" t="s">
        <v>32</v>
      </c>
      <c r="C34" s="95" t="s">
        <v>132</v>
      </c>
      <c r="D34" s="95" t="s">
        <v>133</v>
      </c>
      <c r="E34" s="96">
        <v>0.5</v>
      </c>
      <c r="F34" s="95" t="s">
        <v>167</v>
      </c>
      <c r="G34" s="141">
        <v>410</v>
      </c>
      <c r="H34" s="97" t="s">
        <v>11</v>
      </c>
      <c r="I34" s="93"/>
      <c r="J34" s="93"/>
      <c r="K34" s="93"/>
      <c r="L34" s="105"/>
      <c r="N34" s="207">
        <f>SUM(G34:G38)</f>
        <v>942</v>
      </c>
      <c r="O34" s="208" t="s">
        <v>173</v>
      </c>
    </row>
    <row r="35" spans="1:15" s="2" customFormat="1" ht="36" customHeight="1" x14ac:dyDescent="0.2">
      <c r="A35" s="107" t="s">
        <v>106</v>
      </c>
      <c r="B35" s="95" t="s">
        <v>32</v>
      </c>
      <c r="C35" s="95" t="s">
        <v>163</v>
      </c>
      <c r="D35" s="95" t="s">
        <v>164</v>
      </c>
      <c r="E35" s="96">
        <v>0.27</v>
      </c>
      <c r="F35" s="95" t="s">
        <v>37</v>
      </c>
      <c r="G35" s="141">
        <v>140</v>
      </c>
      <c r="H35" s="97" t="s">
        <v>11</v>
      </c>
      <c r="I35" s="144"/>
      <c r="J35" s="144"/>
      <c r="K35" s="144"/>
      <c r="L35" s="105"/>
    </row>
    <row r="36" spans="1:15" s="2" customFormat="1" ht="36" customHeight="1" x14ac:dyDescent="0.2">
      <c r="A36" s="99" t="s">
        <v>106</v>
      </c>
      <c r="B36" s="89" t="s">
        <v>32</v>
      </c>
      <c r="C36" s="89" t="s">
        <v>165</v>
      </c>
      <c r="D36" s="89" t="s">
        <v>166</v>
      </c>
      <c r="E36" s="90">
        <v>0.23</v>
      </c>
      <c r="F36" s="89" t="s">
        <v>136</v>
      </c>
      <c r="G36" s="138">
        <v>220</v>
      </c>
      <c r="H36" s="97" t="s">
        <v>11</v>
      </c>
      <c r="I36" s="144"/>
      <c r="J36" s="144"/>
      <c r="K36" s="144"/>
      <c r="L36" s="105"/>
    </row>
    <row r="37" spans="1:15" ht="30" customHeight="1" x14ac:dyDescent="0.2">
      <c r="A37" s="107" t="s">
        <v>106</v>
      </c>
      <c r="B37" s="95" t="s">
        <v>158</v>
      </c>
      <c r="C37" s="95" t="s">
        <v>81</v>
      </c>
      <c r="D37" s="95" t="s">
        <v>159</v>
      </c>
      <c r="E37" s="96">
        <v>0.1</v>
      </c>
      <c r="F37" s="95" t="s">
        <v>160</v>
      </c>
      <c r="G37" s="141">
        <v>142</v>
      </c>
      <c r="H37" s="97" t="s">
        <v>11</v>
      </c>
      <c r="I37" s="144"/>
      <c r="J37" s="144"/>
      <c r="K37" s="144"/>
      <c r="L37" s="105"/>
    </row>
    <row r="38" spans="1:15" ht="30" customHeight="1" x14ac:dyDescent="0.2">
      <c r="A38" s="107" t="s">
        <v>106</v>
      </c>
      <c r="B38" s="95" t="s">
        <v>158</v>
      </c>
      <c r="C38" s="95" t="s">
        <v>161</v>
      </c>
      <c r="D38" s="95" t="s">
        <v>162</v>
      </c>
      <c r="E38" s="96">
        <v>0.1</v>
      </c>
      <c r="F38" s="95" t="s">
        <v>37</v>
      </c>
      <c r="G38" s="141">
        <v>30</v>
      </c>
      <c r="H38" s="97" t="s">
        <v>11</v>
      </c>
      <c r="I38" s="144"/>
      <c r="J38" s="144"/>
      <c r="K38" s="144"/>
      <c r="L38" s="105"/>
    </row>
    <row r="39" spans="1:15" ht="30" customHeight="1" thickBot="1" x14ac:dyDescent="0.3">
      <c r="A39" s="28"/>
      <c r="B39" s="21"/>
      <c r="C39" s="21"/>
      <c r="D39" s="21"/>
      <c r="E39" s="22"/>
      <c r="F39" s="19"/>
      <c r="G39" s="18"/>
      <c r="H39" s="9"/>
      <c r="I39" s="9"/>
      <c r="J39" s="9"/>
      <c r="K39" s="9"/>
      <c r="L39" s="105"/>
    </row>
    <row r="40" spans="1:15" ht="30" customHeight="1" thickBot="1" x14ac:dyDescent="0.4">
      <c r="A40" s="28"/>
      <c r="B40" s="21"/>
      <c r="C40" s="21"/>
      <c r="D40" s="2"/>
      <c r="E40" s="2"/>
      <c r="F40" s="131" t="s">
        <v>47</v>
      </c>
      <c r="G40" s="122" t="s">
        <v>8</v>
      </c>
      <c r="H40" s="122" t="s">
        <v>3</v>
      </c>
      <c r="I40" s="132"/>
      <c r="J40" s="133"/>
      <c r="K40" s="124" t="s">
        <v>4</v>
      </c>
      <c r="L40" s="105"/>
    </row>
    <row r="41" spans="1:15" ht="30" customHeight="1" thickTop="1" x14ac:dyDescent="0.25">
      <c r="A41" s="28"/>
      <c r="B41" s="849" t="s">
        <v>48</v>
      </c>
      <c r="C41" s="850"/>
      <c r="D41" s="851"/>
      <c r="E41" s="2"/>
      <c r="F41" s="134" t="s">
        <v>61</v>
      </c>
      <c r="G41" s="139">
        <v>3500</v>
      </c>
      <c r="H41" s="91" t="s">
        <v>9</v>
      </c>
      <c r="I41" s="93"/>
      <c r="J41" s="93"/>
      <c r="K41" s="126"/>
      <c r="L41" s="105"/>
    </row>
    <row r="42" spans="1:15" ht="30" customHeight="1" thickBot="1" x14ac:dyDescent="0.3">
      <c r="A42" s="28"/>
      <c r="B42" s="846" t="s">
        <v>49</v>
      </c>
      <c r="C42" s="847"/>
      <c r="D42" s="848"/>
      <c r="E42" s="2"/>
      <c r="F42" s="134" t="s">
        <v>62</v>
      </c>
      <c r="G42" s="139">
        <v>7500</v>
      </c>
      <c r="H42" s="91" t="s">
        <v>9</v>
      </c>
      <c r="I42" s="93"/>
      <c r="J42" s="93"/>
      <c r="K42" s="126"/>
      <c r="L42" s="105"/>
    </row>
    <row r="43" spans="1:15" ht="30" customHeight="1" thickTop="1" thickBot="1" x14ac:dyDescent="0.3">
      <c r="A43" s="28"/>
      <c r="B43" s="844"/>
      <c r="C43" s="845"/>
      <c r="D43" s="79"/>
      <c r="E43" s="2"/>
      <c r="F43" s="134" t="s">
        <v>10</v>
      </c>
      <c r="G43" s="139">
        <v>25</v>
      </c>
      <c r="H43" s="91" t="s">
        <v>11</v>
      </c>
      <c r="I43" s="93"/>
      <c r="J43" s="93"/>
      <c r="K43" s="126"/>
      <c r="L43" s="105"/>
    </row>
    <row r="44" spans="1:15" ht="30" customHeight="1" thickBot="1" x14ac:dyDescent="0.4">
      <c r="A44" s="28"/>
      <c r="B44" s="75"/>
      <c r="C44" s="75"/>
      <c r="D44" s="137" t="s">
        <v>76</v>
      </c>
      <c r="E44" s="87"/>
      <c r="F44" s="136" t="s">
        <v>12</v>
      </c>
      <c r="G44" s="139">
        <v>75</v>
      </c>
      <c r="H44" s="91" t="s">
        <v>11</v>
      </c>
      <c r="I44" s="93"/>
      <c r="J44" s="93"/>
      <c r="K44" s="126"/>
      <c r="L44" s="105"/>
    </row>
    <row r="45" spans="1:15" ht="30" customHeight="1" x14ac:dyDescent="0.25">
      <c r="A45" s="28"/>
      <c r="B45" s="21"/>
      <c r="C45" s="21"/>
      <c r="D45" s="78"/>
      <c r="E45" s="2"/>
      <c r="F45" s="134" t="s">
        <v>13</v>
      </c>
      <c r="G45" s="139">
        <v>150</v>
      </c>
      <c r="H45" s="91" t="s">
        <v>11</v>
      </c>
      <c r="I45" s="93"/>
      <c r="J45" s="93"/>
      <c r="K45" s="126"/>
      <c r="L45" s="105"/>
    </row>
    <row r="46" spans="1:15" ht="30" customHeight="1" thickBot="1" x14ac:dyDescent="0.3">
      <c r="A46" s="856" t="s">
        <v>66</v>
      </c>
      <c r="B46" s="855"/>
      <c r="C46" s="855"/>
      <c r="D46" s="855"/>
      <c r="E46" s="855"/>
      <c r="F46" s="135" t="s">
        <v>19</v>
      </c>
      <c r="G46" s="140">
        <v>250</v>
      </c>
      <c r="H46" s="142" t="s">
        <v>11</v>
      </c>
      <c r="I46" s="129"/>
      <c r="J46" s="129"/>
      <c r="K46" s="130"/>
      <c r="L46" s="105"/>
    </row>
    <row r="47" spans="1:15" ht="9.9499999999999993" customHeight="1" x14ac:dyDescent="0.25">
      <c r="A47" s="35"/>
      <c r="B47" s="19"/>
      <c r="C47" s="19"/>
      <c r="D47" s="19"/>
      <c r="E47" s="23"/>
      <c r="F47" s="19"/>
      <c r="G47" s="18"/>
      <c r="H47" s="9"/>
      <c r="I47" s="9"/>
      <c r="J47" s="9"/>
      <c r="K47" s="9"/>
      <c r="L47" s="111"/>
    </row>
    <row r="48" spans="1:15" ht="9.9499999999999993" customHeight="1" x14ac:dyDescent="0.25">
      <c r="A48" s="34"/>
      <c r="B48" s="44"/>
      <c r="C48" s="44"/>
      <c r="D48" s="44"/>
      <c r="E48" s="56"/>
      <c r="F48" s="44"/>
      <c r="G48" s="57"/>
      <c r="H48" s="47"/>
      <c r="I48" s="47"/>
      <c r="J48" s="34"/>
      <c r="K48" s="44"/>
      <c r="L48" s="105"/>
    </row>
    <row r="49" spans="1:15" ht="35.1" customHeight="1" x14ac:dyDescent="0.5">
      <c r="A49" s="43" t="s">
        <v>54</v>
      </c>
      <c r="B49" s="58"/>
      <c r="C49" s="58"/>
      <c r="D49" s="58"/>
      <c r="E49" s="59"/>
      <c r="F49" s="58"/>
      <c r="G49" s="60"/>
      <c r="H49" s="20"/>
      <c r="I49" s="20"/>
      <c r="J49" s="35"/>
      <c r="K49" s="58"/>
      <c r="L49" s="105"/>
    </row>
    <row r="50" spans="1:15" ht="9.9499999999999993" customHeight="1" x14ac:dyDescent="0.5">
      <c r="A50" s="65"/>
      <c r="B50" s="45"/>
      <c r="C50" s="45"/>
      <c r="D50" s="45"/>
      <c r="E50" s="66"/>
      <c r="F50" s="45"/>
      <c r="G50" s="67"/>
      <c r="H50" s="46"/>
      <c r="I50" s="46"/>
      <c r="J50" s="68"/>
      <c r="K50" s="45"/>
      <c r="L50" s="105"/>
    </row>
    <row r="51" spans="1:15" ht="35.1" customHeight="1" thickBot="1" x14ac:dyDescent="0.45">
      <c r="A51" s="852" t="s">
        <v>44</v>
      </c>
      <c r="B51" s="852"/>
      <c r="C51" s="852"/>
      <c r="D51" s="853"/>
      <c r="E51" s="853"/>
      <c r="F51" s="853"/>
      <c r="G51" s="853"/>
      <c r="H51" s="853"/>
      <c r="I51" s="55"/>
      <c r="J51" s="55"/>
      <c r="K51" s="55"/>
      <c r="L51" s="105"/>
    </row>
    <row r="52" spans="1:15" ht="35.1" customHeight="1" x14ac:dyDescent="0.4">
      <c r="A52" s="38"/>
      <c r="B52" s="38"/>
      <c r="C52" s="38"/>
      <c r="E52" s="37" t="s">
        <v>24</v>
      </c>
      <c r="I52" s="9"/>
      <c r="J52" s="9"/>
      <c r="K52" s="9"/>
      <c r="L52" s="105"/>
    </row>
    <row r="53" spans="1:15" ht="24.95" customHeight="1" x14ac:dyDescent="0.35">
      <c r="A53" s="37" t="s">
        <v>7</v>
      </c>
      <c r="B53" s="75" t="s">
        <v>0</v>
      </c>
      <c r="C53" s="75" t="s">
        <v>1</v>
      </c>
      <c r="D53" s="75" t="s">
        <v>6</v>
      </c>
      <c r="E53" s="37" t="s">
        <v>25</v>
      </c>
      <c r="F53" s="75" t="s">
        <v>2</v>
      </c>
      <c r="G53" s="37" t="s">
        <v>16</v>
      </c>
      <c r="H53" s="75" t="s">
        <v>8</v>
      </c>
      <c r="I53" s="75" t="s">
        <v>3</v>
      </c>
      <c r="J53" s="37"/>
      <c r="K53" s="37" t="s">
        <v>4</v>
      </c>
      <c r="L53" s="105"/>
    </row>
    <row r="54" spans="1:15" ht="24.95" customHeight="1" thickBot="1" x14ac:dyDescent="0.3">
      <c r="A54" s="190">
        <v>122</v>
      </c>
      <c r="B54" s="184" t="s">
        <v>20</v>
      </c>
      <c r="C54" s="184" t="s">
        <v>153</v>
      </c>
      <c r="D54" s="184" t="s">
        <v>154</v>
      </c>
      <c r="E54" s="185">
        <v>0.98</v>
      </c>
      <c r="F54" s="184" t="s">
        <v>136</v>
      </c>
      <c r="G54" s="191">
        <v>1045</v>
      </c>
      <c r="H54" s="186" t="s">
        <v>11</v>
      </c>
      <c r="I54" s="192"/>
      <c r="J54" s="192"/>
      <c r="K54" s="192"/>
      <c r="L54" s="105"/>
      <c r="N54" s="207">
        <f>SUM(G54:G61)</f>
        <v>3400</v>
      </c>
      <c r="O54" s="208" t="s">
        <v>173</v>
      </c>
    </row>
    <row r="55" spans="1:15" ht="24.95" customHeight="1" x14ac:dyDescent="0.2">
      <c r="A55" s="149">
        <v>124</v>
      </c>
      <c r="B55" s="151" t="s">
        <v>20</v>
      </c>
      <c r="C55" s="151" t="s">
        <v>153</v>
      </c>
      <c r="D55" s="151" t="s">
        <v>155</v>
      </c>
      <c r="E55" s="152">
        <v>0.08</v>
      </c>
      <c r="F55" s="151" t="s">
        <v>156</v>
      </c>
      <c r="G55" s="153">
        <v>120</v>
      </c>
      <c r="H55" s="154" t="s">
        <v>11</v>
      </c>
      <c r="I55" s="194"/>
      <c r="J55" s="194"/>
      <c r="K55" s="195"/>
      <c r="L55" s="105"/>
    </row>
    <row r="56" spans="1:15" ht="24.95" customHeight="1" thickBot="1" x14ac:dyDescent="0.25">
      <c r="A56" s="172"/>
      <c r="B56" s="173"/>
      <c r="C56" s="173"/>
      <c r="D56" s="173"/>
      <c r="E56" s="174"/>
      <c r="F56" s="128" t="s">
        <v>150</v>
      </c>
      <c r="G56" s="204"/>
      <c r="H56" s="189"/>
      <c r="I56" s="196"/>
      <c r="J56" s="196"/>
      <c r="K56" s="197"/>
      <c r="L56" s="105"/>
    </row>
    <row r="57" spans="1:15" ht="30" customHeight="1" thickBot="1" x14ac:dyDescent="0.25">
      <c r="A57" s="198">
        <v>121</v>
      </c>
      <c r="B57" s="199" t="s">
        <v>20</v>
      </c>
      <c r="C57" s="199" t="s">
        <v>134</v>
      </c>
      <c r="D57" s="199" t="s">
        <v>135</v>
      </c>
      <c r="E57" s="200">
        <v>0.99</v>
      </c>
      <c r="F57" s="199" t="s">
        <v>136</v>
      </c>
      <c r="G57" s="201">
        <v>1100</v>
      </c>
      <c r="H57" s="202" t="s">
        <v>11</v>
      </c>
      <c r="I57" s="203"/>
      <c r="J57" s="203"/>
      <c r="K57" s="203"/>
      <c r="L57" s="105"/>
    </row>
    <row r="58" spans="1:15" ht="30" customHeight="1" x14ac:dyDescent="0.2">
      <c r="A58" s="149" t="s">
        <v>30</v>
      </c>
      <c r="B58" s="151" t="s">
        <v>20</v>
      </c>
      <c r="C58" s="151" t="s">
        <v>137</v>
      </c>
      <c r="D58" s="151" t="s">
        <v>138</v>
      </c>
      <c r="E58" s="152">
        <v>0.01</v>
      </c>
      <c r="F58" s="151" t="s">
        <v>34</v>
      </c>
      <c r="G58" s="154">
        <v>200</v>
      </c>
      <c r="H58" s="154" t="s">
        <v>11</v>
      </c>
      <c r="I58" s="194"/>
      <c r="J58" s="194"/>
      <c r="K58" s="195"/>
      <c r="L58" s="105"/>
    </row>
    <row r="59" spans="1:15" ht="30" customHeight="1" thickBot="1" x14ac:dyDescent="0.25">
      <c r="A59" s="172"/>
      <c r="B59" s="173"/>
      <c r="C59" s="173"/>
      <c r="D59" s="173"/>
      <c r="E59" s="174"/>
      <c r="F59" s="128" t="s">
        <v>150</v>
      </c>
      <c r="G59" s="188"/>
      <c r="H59" s="189"/>
      <c r="I59" s="196"/>
      <c r="J59" s="196"/>
      <c r="K59" s="197"/>
      <c r="L59" s="105"/>
    </row>
    <row r="60" spans="1:15" ht="36" customHeight="1" x14ac:dyDescent="0.2">
      <c r="A60" s="99" t="s">
        <v>30</v>
      </c>
      <c r="B60" s="89" t="s">
        <v>31</v>
      </c>
      <c r="C60" s="89" t="s">
        <v>134</v>
      </c>
      <c r="D60" s="89" t="s">
        <v>157</v>
      </c>
      <c r="E60" s="90">
        <v>0.6</v>
      </c>
      <c r="F60" s="89" t="s">
        <v>136</v>
      </c>
      <c r="G60" s="91">
        <v>645</v>
      </c>
      <c r="H60" s="91" t="s">
        <v>11</v>
      </c>
      <c r="I60" s="102"/>
      <c r="J60" s="102"/>
      <c r="K60" s="102"/>
      <c r="L60" s="105"/>
    </row>
    <row r="61" spans="1:15" ht="36" customHeight="1" x14ac:dyDescent="0.2">
      <c r="A61" s="107" t="s">
        <v>30</v>
      </c>
      <c r="B61" s="95" t="s">
        <v>31</v>
      </c>
      <c r="C61" s="95" t="s">
        <v>139</v>
      </c>
      <c r="D61" s="95" t="s">
        <v>140</v>
      </c>
      <c r="E61" s="96">
        <v>1</v>
      </c>
      <c r="F61" s="95" t="s">
        <v>37</v>
      </c>
      <c r="G61" s="97">
        <v>290</v>
      </c>
      <c r="H61" s="97" t="s">
        <v>11</v>
      </c>
      <c r="I61" s="102"/>
      <c r="J61" s="102"/>
      <c r="K61" s="102"/>
      <c r="L61" s="105"/>
    </row>
    <row r="62" spans="1:15" ht="30" customHeight="1" thickBot="1" x14ac:dyDescent="0.3">
      <c r="A62" s="28"/>
      <c r="B62" s="21"/>
      <c r="C62" s="21"/>
      <c r="D62" s="21"/>
      <c r="E62" s="22"/>
      <c r="F62" s="19"/>
      <c r="G62" s="20"/>
      <c r="H62" s="9"/>
      <c r="I62" s="9"/>
      <c r="J62" s="9"/>
      <c r="K62" s="9"/>
      <c r="L62" s="105"/>
    </row>
    <row r="63" spans="1:15" ht="30" customHeight="1" thickBot="1" x14ac:dyDescent="0.4">
      <c r="A63" s="28"/>
      <c r="B63" s="21"/>
      <c r="C63" s="21"/>
      <c r="D63" s="2"/>
      <c r="E63" s="2"/>
      <c r="F63" s="131" t="s">
        <v>47</v>
      </c>
      <c r="G63" s="122" t="s">
        <v>8</v>
      </c>
      <c r="H63" s="122" t="s">
        <v>3</v>
      </c>
      <c r="I63" s="132"/>
      <c r="J63" s="133"/>
      <c r="K63" s="124" t="s">
        <v>4</v>
      </c>
      <c r="L63" s="105"/>
    </row>
    <row r="64" spans="1:15" ht="30" customHeight="1" thickTop="1" x14ac:dyDescent="0.25">
      <c r="A64" s="28"/>
      <c r="B64" s="849" t="s">
        <v>48</v>
      </c>
      <c r="C64" s="850"/>
      <c r="D64" s="851"/>
      <c r="E64" s="2"/>
      <c r="F64" s="134" t="s">
        <v>61</v>
      </c>
      <c r="G64" s="139">
        <v>3500</v>
      </c>
      <c r="H64" s="91" t="s">
        <v>9</v>
      </c>
      <c r="I64" s="93"/>
      <c r="J64" s="93"/>
      <c r="K64" s="126"/>
      <c r="L64" s="105"/>
    </row>
    <row r="65" spans="1:15" ht="30" customHeight="1" thickBot="1" x14ac:dyDescent="0.3">
      <c r="A65" s="28"/>
      <c r="B65" s="846" t="s">
        <v>49</v>
      </c>
      <c r="C65" s="847"/>
      <c r="D65" s="848"/>
      <c r="E65" s="2"/>
      <c r="F65" s="134" t="s">
        <v>62</v>
      </c>
      <c r="G65" s="139">
        <v>7500</v>
      </c>
      <c r="H65" s="91" t="s">
        <v>9</v>
      </c>
      <c r="I65" s="93"/>
      <c r="J65" s="93"/>
      <c r="K65" s="126"/>
      <c r="L65" s="105"/>
    </row>
    <row r="66" spans="1:15" ht="30" customHeight="1" thickTop="1" thickBot="1" x14ac:dyDescent="0.3">
      <c r="A66" s="28"/>
      <c r="B66" s="844"/>
      <c r="C66" s="845"/>
      <c r="D66" s="79"/>
      <c r="E66" s="2"/>
      <c r="F66" s="134" t="s">
        <v>10</v>
      </c>
      <c r="G66" s="139">
        <v>25</v>
      </c>
      <c r="H66" s="91" t="s">
        <v>11</v>
      </c>
      <c r="I66" s="93"/>
      <c r="J66" s="93"/>
      <c r="K66" s="126"/>
      <c r="L66" s="105"/>
    </row>
    <row r="67" spans="1:15" ht="30" customHeight="1" thickBot="1" x14ac:dyDescent="0.4">
      <c r="A67" s="28"/>
      <c r="B67" s="75"/>
      <c r="C67" s="75"/>
      <c r="D67" s="137" t="s">
        <v>76</v>
      </c>
      <c r="E67" s="87"/>
      <c r="F67" s="136" t="s">
        <v>12</v>
      </c>
      <c r="G67" s="139">
        <v>75</v>
      </c>
      <c r="H67" s="91" t="s">
        <v>11</v>
      </c>
      <c r="I67" s="93"/>
      <c r="J67" s="93"/>
      <c r="K67" s="126"/>
      <c r="L67" s="105"/>
    </row>
    <row r="68" spans="1:15" ht="30" customHeight="1" x14ac:dyDescent="0.25">
      <c r="A68" s="28"/>
      <c r="B68" s="21"/>
      <c r="C68" s="21"/>
      <c r="D68" s="78"/>
      <c r="E68" s="2"/>
      <c r="F68" s="134" t="s">
        <v>13</v>
      </c>
      <c r="G68" s="139">
        <v>150</v>
      </c>
      <c r="H68" s="91" t="s">
        <v>11</v>
      </c>
      <c r="I68" s="93"/>
      <c r="J68" s="93"/>
      <c r="K68" s="126"/>
      <c r="L68" s="105"/>
    </row>
    <row r="69" spans="1:15" ht="30" customHeight="1" thickBot="1" x14ac:dyDescent="0.3">
      <c r="A69" s="856" t="s">
        <v>66</v>
      </c>
      <c r="B69" s="855"/>
      <c r="C69" s="855"/>
      <c r="D69" s="855"/>
      <c r="E69" s="855"/>
      <c r="F69" s="135" t="s">
        <v>19</v>
      </c>
      <c r="G69" s="140">
        <v>250</v>
      </c>
      <c r="H69" s="142" t="s">
        <v>11</v>
      </c>
      <c r="I69" s="129"/>
      <c r="J69" s="129"/>
      <c r="K69" s="130"/>
      <c r="L69" s="105"/>
    </row>
    <row r="70" spans="1:15" ht="9.9499999999999993" customHeight="1" x14ac:dyDescent="0.25">
      <c r="A70" s="35"/>
      <c r="B70" s="19"/>
      <c r="C70" s="19"/>
      <c r="D70" s="19"/>
      <c r="E70" s="23"/>
      <c r="F70" s="19"/>
      <c r="G70" s="20"/>
      <c r="H70" s="9"/>
      <c r="I70" s="9"/>
      <c r="J70" s="9"/>
      <c r="K70" s="9"/>
      <c r="L70" s="105"/>
    </row>
    <row r="71" spans="1:15" ht="9.9499999999999993" customHeight="1" x14ac:dyDescent="0.25">
      <c r="A71" s="34"/>
      <c r="B71" s="44"/>
      <c r="C71" s="44"/>
      <c r="D71" s="44"/>
      <c r="E71" s="56"/>
      <c r="F71" s="44"/>
      <c r="G71" s="57"/>
      <c r="H71" s="47"/>
      <c r="I71" s="47"/>
      <c r="J71" s="34"/>
      <c r="K71" s="44"/>
      <c r="L71" s="105"/>
    </row>
    <row r="72" spans="1:15" ht="35.1" customHeight="1" x14ac:dyDescent="0.5">
      <c r="A72" s="43" t="s">
        <v>54</v>
      </c>
      <c r="B72" s="19"/>
      <c r="C72" s="19"/>
      <c r="D72" s="19"/>
      <c r="E72" s="23"/>
      <c r="F72" s="19"/>
      <c r="G72" s="20"/>
      <c r="H72" s="9"/>
      <c r="I72" s="9"/>
      <c r="J72" s="9"/>
      <c r="K72" s="9"/>
      <c r="L72" s="105"/>
    </row>
    <row r="73" spans="1:15" ht="9.9499999999999993" customHeight="1" x14ac:dyDescent="0.25">
      <c r="A73" s="34"/>
      <c r="B73" s="44"/>
      <c r="C73" s="44"/>
      <c r="D73" s="44"/>
      <c r="E73" s="56"/>
      <c r="F73" s="44"/>
      <c r="G73" s="57"/>
      <c r="H73" s="47"/>
      <c r="I73" s="47"/>
      <c r="J73" s="34"/>
      <c r="K73" s="44"/>
      <c r="L73" s="105"/>
    </row>
    <row r="74" spans="1:15" ht="35.1" customHeight="1" thickBot="1" x14ac:dyDescent="0.45">
      <c r="A74" s="852" t="s">
        <v>45</v>
      </c>
      <c r="B74" s="852"/>
      <c r="C74" s="852"/>
      <c r="D74" s="853"/>
      <c r="E74" s="853"/>
      <c r="F74" s="853"/>
      <c r="G74" s="853"/>
      <c r="H74" s="853"/>
      <c r="I74" s="55"/>
      <c r="J74" s="55"/>
      <c r="K74" s="55"/>
      <c r="L74" s="105"/>
    </row>
    <row r="75" spans="1:15" ht="24.95" customHeight="1" x14ac:dyDescent="0.4">
      <c r="A75" s="38"/>
      <c r="B75" s="38"/>
      <c r="C75" s="38"/>
      <c r="E75" s="37" t="s">
        <v>24</v>
      </c>
      <c r="I75" s="9"/>
      <c r="J75" s="9"/>
      <c r="K75" s="9"/>
      <c r="L75" s="105"/>
    </row>
    <row r="76" spans="1:15" ht="24.95" customHeight="1" x14ac:dyDescent="0.35">
      <c r="A76" s="37" t="s">
        <v>7</v>
      </c>
      <c r="B76" s="75" t="s">
        <v>0</v>
      </c>
      <c r="C76" s="75" t="s">
        <v>1</v>
      </c>
      <c r="D76" s="75" t="s">
        <v>6</v>
      </c>
      <c r="E76" s="37" t="s">
        <v>25</v>
      </c>
      <c r="F76" s="75" t="s">
        <v>2</v>
      </c>
      <c r="G76" s="37" t="s">
        <v>16</v>
      </c>
      <c r="H76" s="75" t="s">
        <v>8</v>
      </c>
      <c r="I76" s="75" t="s">
        <v>3</v>
      </c>
      <c r="J76" s="37"/>
      <c r="K76" s="37" t="s">
        <v>4</v>
      </c>
      <c r="L76" s="105"/>
    </row>
    <row r="77" spans="1:15" ht="30" customHeight="1" x14ac:dyDescent="0.25">
      <c r="A77" s="106" t="s">
        <v>30</v>
      </c>
      <c r="B77" s="95" t="s">
        <v>27</v>
      </c>
      <c r="C77" s="95" t="s">
        <v>81</v>
      </c>
      <c r="D77" s="95" t="s">
        <v>141</v>
      </c>
      <c r="E77" s="96">
        <v>2.5</v>
      </c>
      <c r="F77" s="95" t="s">
        <v>142</v>
      </c>
      <c r="G77" s="97">
        <v>652</v>
      </c>
      <c r="H77" s="97" t="s">
        <v>11</v>
      </c>
      <c r="I77" s="92"/>
      <c r="J77" s="92"/>
      <c r="K77" s="92"/>
      <c r="L77" s="105"/>
      <c r="N77" s="207">
        <f>SUM(G77:G81)</f>
        <v>1806</v>
      </c>
      <c r="O77" s="208" t="s">
        <v>173</v>
      </c>
    </row>
    <row r="78" spans="1:15" ht="36" customHeight="1" thickBot="1" x14ac:dyDescent="0.3">
      <c r="A78" s="183" t="s">
        <v>30</v>
      </c>
      <c r="B78" s="184" t="s">
        <v>27</v>
      </c>
      <c r="C78" s="184" t="s">
        <v>28</v>
      </c>
      <c r="D78" s="184" t="s">
        <v>29</v>
      </c>
      <c r="E78" s="185">
        <v>0.25</v>
      </c>
      <c r="F78" s="184" t="s">
        <v>143</v>
      </c>
      <c r="G78" s="186">
        <v>484</v>
      </c>
      <c r="H78" s="186" t="s">
        <v>11</v>
      </c>
      <c r="I78" s="187"/>
      <c r="J78" s="187"/>
      <c r="K78" s="187"/>
      <c r="L78" s="105"/>
    </row>
    <row r="79" spans="1:15" ht="36" customHeight="1" x14ac:dyDescent="0.25">
      <c r="A79" s="149" t="s">
        <v>30</v>
      </c>
      <c r="B79" s="151" t="s">
        <v>27</v>
      </c>
      <c r="C79" s="151" t="s">
        <v>28</v>
      </c>
      <c r="D79" s="151" t="s">
        <v>144</v>
      </c>
      <c r="E79" s="152">
        <v>0.27</v>
      </c>
      <c r="F79" s="150" t="s">
        <v>26</v>
      </c>
      <c r="G79" s="154">
        <v>450</v>
      </c>
      <c r="H79" s="154" t="s">
        <v>11</v>
      </c>
      <c r="I79" s="155"/>
      <c r="J79" s="155"/>
      <c r="K79" s="156"/>
      <c r="L79" s="105"/>
    </row>
    <row r="80" spans="1:15" ht="36" customHeight="1" thickBot="1" x14ac:dyDescent="0.3">
      <c r="A80" s="172"/>
      <c r="B80" s="173"/>
      <c r="C80" s="173"/>
      <c r="D80" s="173"/>
      <c r="E80" s="174"/>
      <c r="F80" s="128" t="s">
        <v>145</v>
      </c>
      <c r="G80" s="188"/>
      <c r="H80" s="189"/>
      <c r="I80" s="164"/>
      <c r="J80" s="164"/>
      <c r="K80" s="165"/>
      <c r="L80" s="105"/>
    </row>
    <row r="81" spans="1:12" ht="39.950000000000003" customHeight="1" x14ac:dyDescent="0.25">
      <c r="A81" s="179" t="s">
        <v>30</v>
      </c>
      <c r="B81" s="180" t="s">
        <v>35</v>
      </c>
      <c r="C81" s="180" t="s">
        <v>146</v>
      </c>
      <c r="D81" s="180" t="s">
        <v>147</v>
      </c>
      <c r="E81" s="181">
        <v>1.5</v>
      </c>
      <c r="F81" s="180" t="s">
        <v>148</v>
      </c>
      <c r="G81" s="182">
        <v>220</v>
      </c>
      <c r="H81" s="182" t="s">
        <v>11</v>
      </c>
      <c r="I81" s="148"/>
      <c r="J81" s="148"/>
      <c r="K81" s="148"/>
      <c r="L81" s="105"/>
    </row>
    <row r="82" spans="1:12" ht="27.95" customHeight="1" x14ac:dyDescent="0.25">
      <c r="A82" s="28"/>
      <c r="B82" s="21"/>
      <c r="C82" s="21"/>
      <c r="D82" s="21"/>
      <c r="E82" s="22"/>
      <c r="F82" s="19"/>
      <c r="G82" s="9"/>
      <c r="H82" s="9"/>
      <c r="I82" s="9"/>
      <c r="J82" s="8"/>
      <c r="K82" s="9"/>
      <c r="L82" s="105"/>
    </row>
    <row r="83" spans="1:12" ht="27.95" customHeight="1" thickBot="1" x14ac:dyDescent="0.3">
      <c r="A83" s="28"/>
      <c r="B83" s="21"/>
      <c r="C83" s="21"/>
      <c r="D83" s="21"/>
      <c r="E83" s="22"/>
      <c r="F83" s="19"/>
      <c r="G83" s="9"/>
      <c r="H83" s="9"/>
      <c r="I83" s="9"/>
      <c r="J83" s="8"/>
      <c r="K83" s="9"/>
      <c r="L83" s="105"/>
    </row>
    <row r="84" spans="1:12" ht="24.95" customHeight="1" thickBot="1" x14ac:dyDescent="0.4">
      <c r="A84" s="28"/>
      <c r="B84" s="21"/>
      <c r="C84" s="21"/>
      <c r="D84" s="2"/>
      <c r="E84" s="2"/>
      <c r="F84" s="131" t="s">
        <v>47</v>
      </c>
      <c r="G84" s="122" t="s">
        <v>8</v>
      </c>
      <c r="H84" s="122" t="s">
        <v>3</v>
      </c>
      <c r="I84" s="132"/>
      <c r="J84" s="133"/>
      <c r="K84" s="124" t="s">
        <v>4</v>
      </c>
      <c r="L84" s="105"/>
    </row>
    <row r="85" spans="1:12" ht="30" customHeight="1" thickTop="1" x14ac:dyDescent="0.25">
      <c r="A85" s="28"/>
      <c r="B85" s="849" t="s">
        <v>48</v>
      </c>
      <c r="C85" s="850"/>
      <c r="D85" s="851"/>
      <c r="E85" s="2"/>
      <c r="F85" s="134" t="s">
        <v>61</v>
      </c>
      <c r="G85" s="139">
        <v>3500</v>
      </c>
      <c r="H85" s="91" t="s">
        <v>9</v>
      </c>
      <c r="I85" s="93"/>
      <c r="J85" s="93"/>
      <c r="K85" s="126"/>
      <c r="L85" s="105"/>
    </row>
    <row r="86" spans="1:12" ht="30" customHeight="1" thickBot="1" x14ac:dyDescent="0.3">
      <c r="A86" s="28"/>
      <c r="B86" s="846" t="s">
        <v>49</v>
      </c>
      <c r="C86" s="847"/>
      <c r="D86" s="848"/>
      <c r="E86" s="2"/>
      <c r="F86" s="134" t="s">
        <v>62</v>
      </c>
      <c r="G86" s="139">
        <v>7500</v>
      </c>
      <c r="H86" s="91" t="s">
        <v>9</v>
      </c>
      <c r="I86" s="93"/>
      <c r="J86" s="93"/>
      <c r="K86" s="126"/>
      <c r="L86" s="105"/>
    </row>
    <row r="87" spans="1:12" ht="30" customHeight="1" thickTop="1" thickBot="1" x14ac:dyDescent="0.3">
      <c r="A87" s="28"/>
      <c r="B87" s="844"/>
      <c r="C87" s="845"/>
      <c r="D87" s="79"/>
      <c r="E87" s="2"/>
      <c r="F87" s="134" t="s">
        <v>10</v>
      </c>
      <c r="G87" s="139">
        <v>25</v>
      </c>
      <c r="H87" s="91" t="s">
        <v>11</v>
      </c>
      <c r="I87" s="93"/>
      <c r="J87" s="93"/>
      <c r="K87" s="126"/>
      <c r="L87" s="105"/>
    </row>
    <row r="88" spans="1:12" ht="30" customHeight="1" thickBot="1" x14ac:dyDescent="0.4">
      <c r="A88" s="28"/>
      <c r="B88" s="75"/>
      <c r="C88" s="75"/>
      <c r="D88" s="137" t="s">
        <v>76</v>
      </c>
      <c r="E88" s="87"/>
      <c r="F88" s="136" t="s">
        <v>12</v>
      </c>
      <c r="G88" s="139">
        <v>75</v>
      </c>
      <c r="H88" s="91" t="s">
        <v>11</v>
      </c>
      <c r="I88" s="93"/>
      <c r="J88" s="93"/>
      <c r="K88" s="126"/>
      <c r="L88" s="105"/>
    </row>
    <row r="89" spans="1:12" ht="30" customHeight="1" x14ac:dyDescent="0.25">
      <c r="A89" s="28"/>
      <c r="B89" s="21"/>
      <c r="C89" s="21"/>
      <c r="D89" s="78"/>
      <c r="E89" s="2"/>
      <c r="F89" s="134" t="s">
        <v>13</v>
      </c>
      <c r="G89" s="139">
        <v>150</v>
      </c>
      <c r="H89" s="91" t="s">
        <v>11</v>
      </c>
      <c r="I89" s="93"/>
      <c r="J89" s="93"/>
      <c r="K89" s="126"/>
      <c r="L89" s="105"/>
    </row>
    <row r="90" spans="1:12" ht="30" customHeight="1" thickBot="1" x14ac:dyDescent="0.3">
      <c r="A90" s="856" t="s">
        <v>66</v>
      </c>
      <c r="B90" s="855"/>
      <c r="C90" s="855"/>
      <c r="D90" s="855"/>
      <c r="E90" s="855"/>
      <c r="F90" s="135" t="s">
        <v>19</v>
      </c>
      <c r="G90" s="140">
        <v>250</v>
      </c>
      <c r="H90" s="142" t="s">
        <v>11</v>
      </c>
      <c r="I90" s="129"/>
      <c r="J90" s="129"/>
      <c r="K90" s="130"/>
      <c r="L90" s="105"/>
    </row>
    <row r="91" spans="1:12" ht="9.9499999999999993" customHeight="1" x14ac:dyDescent="0.2">
      <c r="A91" s="24"/>
      <c r="B91" s="25"/>
      <c r="C91" s="25"/>
      <c r="D91" s="25"/>
      <c r="E91" s="26"/>
      <c r="F91" s="27"/>
      <c r="G91" s="15"/>
      <c r="H91" s="5"/>
      <c r="I91" s="12"/>
      <c r="J91" s="5"/>
      <c r="K91" s="12"/>
    </row>
    <row r="92" spans="1:12" ht="9.9499999999999993" customHeight="1" x14ac:dyDescent="0.2">
      <c r="A92" s="48"/>
      <c r="B92" s="49"/>
      <c r="C92" s="49"/>
      <c r="D92" s="49"/>
      <c r="E92" s="50"/>
      <c r="F92" s="51"/>
      <c r="G92" s="52"/>
      <c r="H92" s="53"/>
      <c r="I92" s="54"/>
      <c r="J92" s="53"/>
      <c r="K92" s="54"/>
    </row>
    <row r="93" spans="1:12" ht="35.1" customHeight="1" x14ac:dyDescent="0.5">
      <c r="A93" s="43" t="s">
        <v>54</v>
      </c>
      <c r="B93" s="61"/>
      <c r="C93" s="61"/>
      <c r="D93" s="61"/>
      <c r="E93" s="62"/>
      <c r="F93" s="27"/>
      <c r="G93" s="15"/>
      <c r="H93" s="63"/>
      <c r="I93" s="64"/>
      <c r="J93" s="63"/>
      <c r="K93" s="64"/>
    </row>
    <row r="94" spans="1:12" ht="9.9499999999999993" customHeight="1" x14ac:dyDescent="0.5">
      <c r="A94" s="70"/>
      <c r="B94" s="71"/>
      <c r="C94" s="71"/>
      <c r="D94" s="71"/>
      <c r="E94" s="72"/>
      <c r="F94" s="73"/>
      <c r="G94" s="74"/>
      <c r="H94" s="54"/>
      <c r="I94" s="54"/>
      <c r="J94" s="54"/>
      <c r="K94" s="54"/>
    </row>
    <row r="95" spans="1:12" ht="24.95" customHeight="1" thickBot="1" x14ac:dyDescent="0.45">
      <c r="A95" s="857" t="s">
        <v>17</v>
      </c>
      <c r="B95" s="857"/>
      <c r="C95" s="857"/>
      <c r="D95" s="69"/>
      <c r="E95" s="37" t="s">
        <v>24</v>
      </c>
      <c r="F95" s="69"/>
      <c r="G95" s="3"/>
      <c r="H95" s="3"/>
      <c r="I95" s="3"/>
      <c r="J95" s="3"/>
      <c r="K95" s="3"/>
    </row>
    <row r="96" spans="1:12" ht="24.95" customHeight="1" thickBot="1" x14ac:dyDescent="0.4">
      <c r="A96" s="103" t="s">
        <v>7</v>
      </c>
      <c r="B96" s="104" t="s">
        <v>0</v>
      </c>
      <c r="C96" s="104" t="s">
        <v>1</v>
      </c>
      <c r="D96" s="104" t="s">
        <v>6</v>
      </c>
      <c r="E96" s="103" t="s">
        <v>18</v>
      </c>
      <c r="F96" s="104" t="s">
        <v>2</v>
      </c>
      <c r="G96" s="37" t="s">
        <v>16</v>
      </c>
      <c r="H96" s="75" t="s">
        <v>8</v>
      </c>
      <c r="I96" s="75" t="s">
        <v>3</v>
      </c>
      <c r="J96" s="37"/>
      <c r="K96" s="37" t="s">
        <v>4</v>
      </c>
    </row>
    <row r="97" spans="1:18" ht="30" customHeight="1" x14ac:dyDescent="0.25">
      <c r="A97" s="149" t="s">
        <v>63</v>
      </c>
      <c r="B97" s="150" t="s">
        <v>31</v>
      </c>
      <c r="C97" s="151" t="s">
        <v>39</v>
      </c>
      <c r="D97" s="151" t="s">
        <v>55</v>
      </c>
      <c r="E97" s="152">
        <v>2</v>
      </c>
      <c r="F97" s="151" t="s">
        <v>172</v>
      </c>
      <c r="G97" s="153">
        <v>29350</v>
      </c>
      <c r="H97" s="154" t="s">
        <v>21</v>
      </c>
      <c r="I97" s="155"/>
      <c r="J97" s="155"/>
      <c r="K97" s="156"/>
      <c r="N97" s="213">
        <f>+G98+G103+G108+G112+G114+G115+G116+G117+G118+G119</f>
        <v>11552</v>
      </c>
      <c r="O97" s="214" t="s">
        <v>173</v>
      </c>
      <c r="P97" s="215" t="s">
        <v>51</v>
      </c>
      <c r="Q97" s="216">
        <v>65</v>
      </c>
      <c r="R97" s="216">
        <f>+Q97*N97</f>
        <v>750880</v>
      </c>
    </row>
    <row r="98" spans="1:18" ht="24.95" customHeight="1" x14ac:dyDescent="0.25">
      <c r="A98" s="157"/>
      <c r="B98" s="115"/>
      <c r="C98" s="115"/>
      <c r="D98" s="116"/>
      <c r="E98" s="117"/>
      <c r="F98" s="89" t="s">
        <v>57</v>
      </c>
      <c r="G98" s="138">
        <v>4650</v>
      </c>
      <c r="H98" s="91" t="s">
        <v>11</v>
      </c>
      <c r="I98" s="92"/>
      <c r="J98" s="92"/>
      <c r="K98" s="126"/>
      <c r="N98" s="3"/>
      <c r="O98" s="3"/>
      <c r="Q98" s="212"/>
      <c r="R98" s="3"/>
    </row>
    <row r="99" spans="1:18" ht="39.950000000000003" customHeight="1" thickBot="1" x14ac:dyDescent="0.3">
      <c r="A99" s="158"/>
      <c r="B99" s="159"/>
      <c r="C99" s="159"/>
      <c r="D99" s="160"/>
      <c r="E99" s="161"/>
      <c r="F99" s="128" t="s">
        <v>40</v>
      </c>
      <c r="G99" s="162"/>
      <c r="H99" s="163"/>
      <c r="I99" s="164"/>
      <c r="J99" s="164"/>
      <c r="K99" s="165"/>
      <c r="N99" s="3"/>
      <c r="O99" s="3"/>
      <c r="Q99" s="212"/>
      <c r="R99" s="3"/>
    </row>
    <row r="100" spans="1:18" ht="39.950000000000003" customHeight="1" x14ac:dyDescent="0.25">
      <c r="A100" s="206" t="s">
        <v>169</v>
      </c>
      <c r="B100" s="150" t="s">
        <v>31</v>
      </c>
      <c r="C100" s="151" t="s">
        <v>39</v>
      </c>
      <c r="D100" s="151" t="s">
        <v>55</v>
      </c>
      <c r="E100" s="152">
        <v>2</v>
      </c>
      <c r="F100" s="151" t="s">
        <v>171</v>
      </c>
      <c r="G100" s="153">
        <v>29350</v>
      </c>
      <c r="H100" s="154" t="s">
        <v>21</v>
      </c>
      <c r="I100" s="155"/>
      <c r="J100" s="155"/>
      <c r="K100" s="156"/>
      <c r="N100" s="3"/>
      <c r="O100" s="3"/>
      <c r="Q100" s="212"/>
      <c r="R100" s="3"/>
    </row>
    <row r="101" spans="1:18" ht="39.950000000000003" customHeight="1" x14ac:dyDescent="0.25">
      <c r="A101" s="157"/>
      <c r="B101" s="115"/>
      <c r="C101" s="115"/>
      <c r="D101" s="116"/>
      <c r="E101" s="117"/>
      <c r="F101" s="89" t="s">
        <v>170</v>
      </c>
      <c r="G101" s="138">
        <v>3100</v>
      </c>
      <c r="H101" s="91" t="s">
        <v>11</v>
      </c>
      <c r="I101" s="92"/>
      <c r="J101" s="92"/>
      <c r="K101" s="126"/>
      <c r="N101" s="3"/>
      <c r="O101" s="3"/>
      <c r="Q101" s="212"/>
      <c r="R101" s="3"/>
    </row>
    <row r="102" spans="1:18" ht="39.950000000000003" customHeight="1" thickBot="1" x14ac:dyDescent="0.3">
      <c r="A102" s="158"/>
      <c r="B102" s="159"/>
      <c r="C102" s="159"/>
      <c r="D102" s="160"/>
      <c r="E102" s="161"/>
      <c r="F102" s="128" t="s">
        <v>40</v>
      </c>
      <c r="G102" s="162"/>
      <c r="H102" s="163"/>
      <c r="I102" s="164"/>
      <c r="J102" s="164"/>
      <c r="K102" s="165"/>
      <c r="N102" s="3"/>
      <c r="O102" s="3"/>
      <c r="Q102" s="212"/>
      <c r="R102" s="3"/>
    </row>
    <row r="103" spans="1:18" ht="39.950000000000003" customHeight="1" x14ac:dyDescent="0.25">
      <c r="A103" s="149" t="s">
        <v>64</v>
      </c>
      <c r="B103" s="150" t="s">
        <v>38</v>
      </c>
      <c r="C103" s="150" t="s">
        <v>39</v>
      </c>
      <c r="D103" s="151" t="s">
        <v>56</v>
      </c>
      <c r="E103" s="152">
        <v>2.5</v>
      </c>
      <c r="F103" s="151" t="s">
        <v>118</v>
      </c>
      <c r="G103" s="153">
        <v>3700</v>
      </c>
      <c r="H103" s="154" t="s">
        <v>11</v>
      </c>
      <c r="I103" s="155"/>
      <c r="J103" s="155"/>
      <c r="K103" s="156"/>
      <c r="N103" s="3">
        <v>3700</v>
      </c>
      <c r="O103" s="3" t="s">
        <v>173</v>
      </c>
      <c r="P103" s="3" t="s">
        <v>174</v>
      </c>
      <c r="Q103" s="212">
        <v>65</v>
      </c>
      <c r="R103" s="212">
        <f>+Q103*N103</f>
        <v>240500</v>
      </c>
    </row>
    <row r="104" spans="1:18" ht="39.950000000000003" customHeight="1" x14ac:dyDescent="0.25">
      <c r="A104" s="166"/>
      <c r="B104" s="118"/>
      <c r="C104" s="118"/>
      <c r="D104" s="109"/>
      <c r="E104" s="110"/>
      <c r="F104" s="89" t="s">
        <v>130</v>
      </c>
      <c r="G104" s="138">
        <v>2</v>
      </c>
      <c r="H104" s="91" t="s">
        <v>77</v>
      </c>
      <c r="I104" s="92"/>
      <c r="J104" s="92"/>
      <c r="K104" s="126"/>
      <c r="N104" s="3"/>
      <c r="O104" s="3"/>
      <c r="Q104" s="212"/>
      <c r="R104" s="3"/>
    </row>
    <row r="105" spans="1:18" ht="39.950000000000003" customHeight="1" thickBot="1" x14ac:dyDescent="0.3">
      <c r="A105" s="158"/>
      <c r="B105" s="159"/>
      <c r="C105" s="159"/>
      <c r="D105" s="160"/>
      <c r="E105" s="161"/>
      <c r="F105" s="128" t="s">
        <v>149</v>
      </c>
      <c r="G105" s="162"/>
      <c r="H105" s="163"/>
      <c r="I105" s="164"/>
      <c r="J105" s="164"/>
      <c r="K105" s="165"/>
      <c r="N105" s="3"/>
      <c r="O105" s="3"/>
      <c r="Q105" s="212"/>
      <c r="R105" s="3"/>
    </row>
    <row r="106" spans="1:18" ht="30" customHeight="1" x14ac:dyDescent="0.25">
      <c r="A106" s="149" t="s">
        <v>65</v>
      </c>
      <c r="B106" s="150" t="s">
        <v>58</v>
      </c>
      <c r="C106" s="151" t="s">
        <v>59</v>
      </c>
      <c r="D106" s="151" t="s">
        <v>60</v>
      </c>
      <c r="E106" s="152">
        <v>0.4</v>
      </c>
      <c r="F106" s="151" t="s">
        <v>168</v>
      </c>
      <c r="G106" s="153">
        <v>7900</v>
      </c>
      <c r="H106" s="154" t="s">
        <v>21</v>
      </c>
      <c r="I106" s="155"/>
      <c r="J106" s="155"/>
      <c r="K106" s="156"/>
      <c r="N106" s="3"/>
      <c r="O106" s="3"/>
      <c r="Q106" s="212"/>
      <c r="R106" s="3"/>
    </row>
    <row r="107" spans="1:18" ht="30" customHeight="1" x14ac:dyDescent="0.25">
      <c r="A107" s="166"/>
      <c r="B107" s="118"/>
      <c r="C107" s="109"/>
      <c r="D107" s="109"/>
      <c r="E107" s="110"/>
      <c r="F107" s="89" t="s">
        <v>119</v>
      </c>
      <c r="G107" s="138">
        <v>2</v>
      </c>
      <c r="H107" s="91" t="s">
        <v>77</v>
      </c>
      <c r="I107" s="92"/>
      <c r="J107" s="92"/>
      <c r="K107" s="126"/>
      <c r="N107" s="3"/>
      <c r="O107" s="3"/>
      <c r="Q107" s="212"/>
      <c r="R107" s="3"/>
    </row>
    <row r="108" spans="1:18" ht="24.95" customHeight="1" thickBot="1" x14ac:dyDescent="0.3">
      <c r="A108" s="167"/>
      <c r="B108" s="168"/>
      <c r="C108" s="168"/>
      <c r="D108" s="169"/>
      <c r="E108" s="170"/>
      <c r="F108" s="128" t="s">
        <v>26</v>
      </c>
      <c r="G108" s="142">
        <v>870</v>
      </c>
      <c r="H108" s="142" t="s">
        <v>11</v>
      </c>
      <c r="I108" s="171"/>
      <c r="J108" s="171"/>
      <c r="K108" s="130"/>
      <c r="N108" s="3"/>
      <c r="O108" s="3"/>
      <c r="Q108" s="212"/>
      <c r="R108" s="3"/>
    </row>
    <row r="109" spans="1:18" ht="24.95" customHeight="1" x14ac:dyDescent="0.25">
      <c r="A109" s="149" t="s">
        <v>75</v>
      </c>
      <c r="B109" s="151" t="s">
        <v>33</v>
      </c>
      <c r="C109" s="151" t="s">
        <v>22</v>
      </c>
      <c r="D109" s="151" t="s">
        <v>74</v>
      </c>
      <c r="E109" s="152">
        <v>2</v>
      </c>
      <c r="F109" s="151" t="s">
        <v>131</v>
      </c>
      <c r="G109" s="153">
        <v>2200</v>
      </c>
      <c r="H109" s="154" t="s">
        <v>11</v>
      </c>
      <c r="I109" s="155"/>
      <c r="J109" s="155"/>
      <c r="K109" s="156"/>
      <c r="N109" s="3"/>
      <c r="O109" s="3"/>
      <c r="Q109" s="212"/>
      <c r="R109" s="3"/>
    </row>
    <row r="110" spans="1:18" ht="24.95" customHeight="1" thickBot="1" x14ac:dyDescent="0.3">
      <c r="A110" s="172"/>
      <c r="B110" s="173"/>
      <c r="C110" s="173"/>
      <c r="D110" s="173"/>
      <c r="E110" s="174"/>
      <c r="F110" s="128" t="s">
        <v>130</v>
      </c>
      <c r="G110" s="175">
        <v>2</v>
      </c>
      <c r="H110" s="142" t="s">
        <v>77</v>
      </c>
      <c r="I110" s="171"/>
      <c r="J110" s="171"/>
      <c r="K110" s="130"/>
      <c r="N110" s="3"/>
      <c r="O110" s="3"/>
      <c r="Q110" s="212"/>
      <c r="R110" s="3"/>
    </row>
    <row r="111" spans="1:18" ht="24.95" customHeight="1" x14ac:dyDescent="0.25">
      <c r="A111" s="149" t="s">
        <v>120</v>
      </c>
      <c r="B111" s="151" t="s">
        <v>31</v>
      </c>
      <c r="C111" s="151" t="s">
        <v>121</v>
      </c>
      <c r="D111" s="151" t="s">
        <v>123</v>
      </c>
      <c r="E111" s="152">
        <v>0.79500000000000004</v>
      </c>
      <c r="F111" s="151" t="s">
        <v>168</v>
      </c>
      <c r="G111" s="153">
        <v>5600</v>
      </c>
      <c r="H111" s="154" t="s">
        <v>21</v>
      </c>
      <c r="I111" s="155"/>
      <c r="J111" s="155"/>
      <c r="K111" s="156"/>
      <c r="N111" s="3"/>
      <c r="O111" s="3"/>
      <c r="Q111" s="212"/>
      <c r="R111" s="3"/>
    </row>
    <row r="112" spans="1:18" ht="24.95" customHeight="1" thickBot="1" x14ac:dyDescent="0.3">
      <c r="A112" s="172"/>
      <c r="B112" s="173"/>
      <c r="C112" s="173"/>
      <c r="D112" s="173"/>
      <c r="E112" s="174"/>
      <c r="F112" s="176" t="s">
        <v>122</v>
      </c>
      <c r="G112" s="177">
        <v>476</v>
      </c>
      <c r="H112" s="178" t="s">
        <v>11</v>
      </c>
      <c r="I112" s="171"/>
      <c r="J112" s="171"/>
      <c r="K112" s="130"/>
      <c r="N112" s="3">
        <v>476</v>
      </c>
      <c r="O112" s="3" t="s">
        <v>173</v>
      </c>
      <c r="P112" s="3" t="s">
        <v>174</v>
      </c>
      <c r="Q112" s="212">
        <v>65</v>
      </c>
      <c r="R112" s="212">
        <f>+Q112*N112</f>
        <v>30940</v>
      </c>
    </row>
    <row r="113" spans="1:18" ht="24.95" customHeight="1" x14ac:dyDescent="0.25">
      <c r="A113" s="149" t="s">
        <v>124</v>
      </c>
      <c r="B113" s="151" t="s">
        <v>125</v>
      </c>
      <c r="C113" s="151" t="s">
        <v>126</v>
      </c>
      <c r="D113" s="151" t="s">
        <v>127</v>
      </c>
      <c r="E113" s="152">
        <v>0.95</v>
      </c>
      <c r="F113" s="151" t="s">
        <v>168</v>
      </c>
      <c r="G113" s="153">
        <v>6667</v>
      </c>
      <c r="H113" s="154" t="s">
        <v>21</v>
      </c>
      <c r="I113" s="155"/>
      <c r="J113" s="155"/>
      <c r="K113" s="156"/>
      <c r="N113" s="3"/>
      <c r="O113" s="3"/>
      <c r="Q113" s="212"/>
      <c r="R113" s="3"/>
    </row>
    <row r="114" spans="1:18" ht="24.95" customHeight="1" thickBot="1" x14ac:dyDescent="0.3">
      <c r="A114" s="172"/>
      <c r="B114" s="173"/>
      <c r="C114" s="173"/>
      <c r="D114" s="173"/>
      <c r="E114" s="174"/>
      <c r="F114" s="176" t="s">
        <v>122</v>
      </c>
      <c r="G114" s="177">
        <v>566</v>
      </c>
      <c r="H114" s="178" t="s">
        <v>11</v>
      </c>
      <c r="I114" s="171"/>
      <c r="J114" s="171"/>
      <c r="K114" s="130"/>
      <c r="N114" s="3">
        <v>566</v>
      </c>
      <c r="O114" s="3" t="s">
        <v>173</v>
      </c>
      <c r="P114" s="3" t="s">
        <v>174</v>
      </c>
      <c r="Q114" s="212">
        <v>65</v>
      </c>
      <c r="R114" s="212">
        <f>+Q114*N114</f>
        <v>36790</v>
      </c>
    </row>
    <row r="115" spans="1:18" ht="30" customHeight="1" x14ac:dyDescent="0.25">
      <c r="A115" s="179" t="s">
        <v>50</v>
      </c>
      <c r="B115" s="180" t="s">
        <v>33</v>
      </c>
      <c r="C115" s="180" t="s">
        <v>22</v>
      </c>
      <c r="D115" s="180" t="s">
        <v>71</v>
      </c>
      <c r="E115" s="181">
        <v>1</v>
      </c>
      <c r="F115" s="180" t="s">
        <v>72</v>
      </c>
      <c r="G115" s="182">
        <v>600</v>
      </c>
      <c r="H115" s="182" t="s">
        <v>11</v>
      </c>
      <c r="I115" s="148"/>
      <c r="J115" s="148"/>
      <c r="K115" s="148"/>
      <c r="N115" s="3"/>
      <c r="O115" s="3"/>
      <c r="Q115" s="212"/>
      <c r="R115" s="3"/>
    </row>
    <row r="116" spans="1:18" ht="30" customHeight="1" x14ac:dyDescent="0.25">
      <c r="A116" s="107" t="s">
        <v>78</v>
      </c>
      <c r="B116" s="95" t="s">
        <v>5</v>
      </c>
      <c r="C116" s="95" t="s">
        <v>67</v>
      </c>
      <c r="D116" s="95" t="s">
        <v>68</v>
      </c>
      <c r="E116" s="96">
        <v>0.12</v>
      </c>
      <c r="F116" s="95" t="s">
        <v>73</v>
      </c>
      <c r="G116" s="97">
        <v>140</v>
      </c>
      <c r="H116" s="97" t="s">
        <v>11</v>
      </c>
      <c r="I116" s="92"/>
      <c r="J116" s="92"/>
      <c r="K116" s="92"/>
      <c r="N116" s="3"/>
      <c r="O116" s="3"/>
      <c r="Q116" s="212"/>
      <c r="R116" s="3"/>
    </row>
    <row r="117" spans="1:18" ht="30" customHeight="1" x14ac:dyDescent="0.25">
      <c r="A117" s="107" t="s">
        <v>128</v>
      </c>
      <c r="B117" s="95" t="s">
        <v>15</v>
      </c>
      <c r="C117" s="95" t="s">
        <v>69</v>
      </c>
      <c r="D117" s="95" t="s">
        <v>70</v>
      </c>
      <c r="E117" s="96">
        <v>0.48</v>
      </c>
      <c r="F117" s="95" t="s">
        <v>46</v>
      </c>
      <c r="G117" s="97">
        <v>120</v>
      </c>
      <c r="H117" s="97" t="s">
        <v>11</v>
      </c>
      <c r="I117" s="92"/>
      <c r="J117" s="92"/>
      <c r="K117" s="92"/>
      <c r="N117" s="3"/>
      <c r="O117" s="3"/>
      <c r="Q117" s="212"/>
      <c r="R117" s="3"/>
    </row>
    <row r="118" spans="1:18" ht="30" customHeight="1" x14ac:dyDescent="0.25">
      <c r="A118" s="107" t="s">
        <v>129</v>
      </c>
      <c r="B118" s="95" t="s">
        <v>14</v>
      </c>
      <c r="C118" s="95" t="s">
        <v>79</v>
      </c>
      <c r="D118" s="95" t="s">
        <v>80</v>
      </c>
      <c r="E118" s="96">
        <v>1.25</v>
      </c>
      <c r="F118" s="95" t="s">
        <v>46</v>
      </c>
      <c r="G118" s="97">
        <v>300</v>
      </c>
      <c r="H118" s="97" t="s">
        <v>11</v>
      </c>
      <c r="I118" s="92"/>
      <c r="J118" s="92"/>
      <c r="K118" s="92"/>
      <c r="N118" s="3"/>
      <c r="O118" s="3"/>
      <c r="Q118" s="212"/>
      <c r="R118" s="3"/>
    </row>
    <row r="119" spans="1:18" ht="30" customHeight="1" x14ac:dyDescent="0.25">
      <c r="A119" s="107" t="s">
        <v>52</v>
      </c>
      <c r="B119" s="95" t="s">
        <v>14</v>
      </c>
      <c r="C119" s="95" t="s">
        <v>151</v>
      </c>
      <c r="D119" s="95" t="s">
        <v>152</v>
      </c>
      <c r="E119" s="96">
        <v>0.5</v>
      </c>
      <c r="F119" s="95" t="s">
        <v>46</v>
      </c>
      <c r="G119" s="97">
        <v>130</v>
      </c>
      <c r="H119" s="97" t="s">
        <v>11</v>
      </c>
      <c r="I119" s="92"/>
      <c r="J119" s="92"/>
      <c r="K119" s="92"/>
      <c r="N119" s="3"/>
      <c r="O119" s="3"/>
      <c r="Q119" s="212"/>
      <c r="R119" s="3"/>
    </row>
    <row r="120" spans="1:18" ht="30" customHeight="1" thickBot="1" x14ac:dyDescent="0.3">
      <c r="A120" s="31"/>
      <c r="B120" s="30"/>
      <c r="C120" s="30"/>
      <c r="D120" s="30"/>
      <c r="E120" s="32"/>
      <c r="F120" s="33"/>
      <c r="G120" s="16"/>
      <c r="H120" s="8"/>
      <c r="I120" s="9"/>
      <c r="J120" s="8"/>
      <c r="K120" s="9"/>
      <c r="N120" s="217">
        <f>+N97-N103-N112-N114</f>
        <v>6810</v>
      </c>
      <c r="O120" s="3" t="s">
        <v>173</v>
      </c>
      <c r="P120" s="3" t="s">
        <v>175</v>
      </c>
      <c r="Q120" s="212">
        <v>65</v>
      </c>
      <c r="R120" s="212">
        <f>+Q120*N120</f>
        <v>442650</v>
      </c>
    </row>
    <row r="121" spans="1:18" ht="24.95" customHeight="1" x14ac:dyDescent="0.35">
      <c r="A121" s="6"/>
      <c r="B121" s="36"/>
      <c r="C121" s="36"/>
      <c r="D121" s="36"/>
      <c r="E121" s="120"/>
      <c r="F121" s="121" t="s">
        <v>41</v>
      </c>
      <c r="G121" s="122" t="s">
        <v>8</v>
      </c>
      <c r="H121" s="122"/>
      <c r="I121" s="122" t="s">
        <v>3</v>
      </c>
      <c r="J121" s="123"/>
      <c r="K121" s="124" t="s">
        <v>4</v>
      </c>
      <c r="Q121" s="11"/>
    </row>
    <row r="122" spans="1:18" ht="30" customHeight="1" x14ac:dyDescent="0.25">
      <c r="A122" s="29"/>
      <c r="B122" s="21"/>
      <c r="C122" s="21"/>
      <c r="D122" s="21"/>
      <c r="E122" s="125"/>
      <c r="F122" s="89" t="s">
        <v>61</v>
      </c>
      <c r="G122" s="139">
        <v>3500</v>
      </c>
      <c r="H122" s="91" t="s">
        <v>9</v>
      </c>
      <c r="I122" s="93"/>
      <c r="J122" s="93"/>
      <c r="K122" s="126"/>
      <c r="Q122" s="11"/>
    </row>
    <row r="123" spans="1:18" ht="30" customHeight="1" x14ac:dyDescent="0.25">
      <c r="A123" s="29"/>
      <c r="B123" s="21"/>
      <c r="C123" s="21"/>
      <c r="D123" s="21"/>
      <c r="E123" s="125"/>
      <c r="F123" s="89" t="s">
        <v>62</v>
      </c>
      <c r="G123" s="139">
        <v>7500</v>
      </c>
      <c r="H123" s="91" t="s">
        <v>9</v>
      </c>
      <c r="I123" s="93"/>
      <c r="J123" s="93"/>
      <c r="K123" s="126"/>
      <c r="Q123" s="11"/>
    </row>
    <row r="124" spans="1:18" ht="30" customHeight="1" thickBot="1" x14ac:dyDescent="0.3">
      <c r="A124" s="29"/>
      <c r="B124" s="21"/>
      <c r="C124" s="21"/>
      <c r="D124" s="21"/>
      <c r="E124" s="125"/>
      <c r="F124" s="89" t="s">
        <v>10</v>
      </c>
      <c r="G124" s="139">
        <v>25</v>
      </c>
      <c r="H124" s="91" t="s">
        <v>11</v>
      </c>
      <c r="I124" s="93"/>
      <c r="J124" s="93"/>
      <c r="K124" s="126"/>
      <c r="Q124" s="11"/>
    </row>
    <row r="125" spans="1:18" ht="30" customHeight="1" thickBot="1" x14ac:dyDescent="0.4">
      <c r="A125" s="29"/>
      <c r="B125" s="119"/>
      <c r="C125" s="75"/>
      <c r="D125" s="137" t="s">
        <v>76</v>
      </c>
      <c r="E125" s="75"/>
      <c r="F125" s="89" t="s">
        <v>12</v>
      </c>
      <c r="G125" s="139">
        <v>75</v>
      </c>
      <c r="H125" s="91" t="s">
        <v>11</v>
      </c>
      <c r="I125" s="93"/>
      <c r="J125" s="93"/>
      <c r="K125" s="126"/>
      <c r="Q125" s="11"/>
    </row>
    <row r="126" spans="1:18" ht="30" customHeight="1" x14ac:dyDescent="0.25">
      <c r="A126" s="29"/>
      <c r="B126" s="21"/>
      <c r="C126" s="21"/>
      <c r="D126" s="21"/>
      <c r="E126" s="125"/>
      <c r="F126" s="89" t="s">
        <v>13</v>
      </c>
      <c r="G126" s="139">
        <v>150</v>
      </c>
      <c r="H126" s="91" t="s">
        <v>11</v>
      </c>
      <c r="I126" s="93"/>
      <c r="J126" s="93"/>
      <c r="K126" s="126"/>
      <c r="Q126" s="11"/>
    </row>
    <row r="127" spans="1:18" ht="30" customHeight="1" thickBot="1" x14ac:dyDescent="0.3">
      <c r="B127" s="17"/>
      <c r="C127" s="21"/>
      <c r="D127" s="21"/>
      <c r="E127" s="127"/>
      <c r="F127" s="128" t="s">
        <v>19</v>
      </c>
      <c r="G127" s="140">
        <v>250</v>
      </c>
      <c r="H127" s="142" t="s">
        <v>11</v>
      </c>
      <c r="I127" s="129"/>
      <c r="J127" s="129"/>
      <c r="K127" s="130"/>
      <c r="Q127" s="11"/>
    </row>
    <row r="128" spans="1:18" ht="30" customHeight="1" x14ac:dyDescent="0.25">
      <c r="A128" s="856" t="s">
        <v>66</v>
      </c>
      <c r="B128" s="855"/>
      <c r="C128" s="855"/>
      <c r="D128" s="855"/>
      <c r="E128" s="855"/>
      <c r="F128" s="13"/>
      <c r="G128" s="13"/>
      <c r="H128" s="13"/>
      <c r="I128" s="13"/>
      <c r="J128" s="85"/>
      <c r="K128" s="8"/>
      <c r="Q128" s="11"/>
    </row>
    <row r="129" spans="1:17" x14ac:dyDescent="0.2">
      <c r="A129" s="1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Q129" s="11"/>
    </row>
    <row r="130" spans="1:17" ht="9.9499999999999993" customHeight="1" x14ac:dyDescent="0.2">
      <c r="A130" s="48"/>
      <c r="B130" s="49"/>
      <c r="C130" s="49"/>
      <c r="D130" s="49"/>
      <c r="E130" s="50"/>
      <c r="F130" s="51"/>
      <c r="G130" s="52"/>
      <c r="H130" s="53"/>
      <c r="I130" s="54"/>
      <c r="J130" s="53"/>
      <c r="K130" s="54"/>
    </row>
  </sheetData>
  <mergeCells count="23">
    <mergeCell ref="A1:D1"/>
    <mergeCell ref="A128:E128"/>
    <mergeCell ref="A90:E90"/>
    <mergeCell ref="A69:E69"/>
    <mergeCell ref="A46:E46"/>
    <mergeCell ref="A95:C95"/>
    <mergeCell ref="B66:C66"/>
    <mergeCell ref="A3:H3"/>
    <mergeCell ref="A31:H31"/>
    <mergeCell ref="B23:C23"/>
    <mergeCell ref="B21:D21"/>
    <mergeCell ref="A26:E26"/>
    <mergeCell ref="B42:D42"/>
    <mergeCell ref="B65:D65"/>
    <mergeCell ref="B85:D85"/>
    <mergeCell ref="A51:H51"/>
    <mergeCell ref="B87:C87"/>
    <mergeCell ref="B22:D22"/>
    <mergeCell ref="B41:D41"/>
    <mergeCell ref="A74:H74"/>
    <mergeCell ref="B86:D86"/>
    <mergeCell ref="B64:D64"/>
    <mergeCell ref="B43:C43"/>
  </mergeCells>
  <phoneticPr fontId="0" type="noConversion"/>
  <pageMargins left="0.5" right="0.5" top="1.5" bottom="0" header="0" footer="0"/>
  <pageSetup paperSize="3" scale="64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73"/>
  <sheetViews>
    <sheetView zoomScale="60" zoomScaleNormal="6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D35" sqref="D35"/>
    </sheetView>
  </sheetViews>
  <sheetFormatPr defaultRowHeight="12.75" x14ac:dyDescent="0.2"/>
  <cols>
    <col min="1" max="1" width="10.7109375" style="4" customWidth="1"/>
    <col min="2" max="2" width="22.7109375" customWidth="1"/>
    <col min="3" max="3" width="34.140625" customWidth="1"/>
    <col min="4" max="4" width="78.85546875" customWidth="1"/>
    <col min="5" max="5" width="15.5703125" bestFit="1" customWidth="1"/>
    <col min="6" max="6" width="100.7109375" customWidth="1"/>
    <col min="7" max="7" width="13.5703125" customWidth="1"/>
    <col min="8" max="8" width="9.42578125" customWidth="1"/>
    <col min="9" max="9" width="22.7109375" customWidth="1"/>
    <col min="10" max="10" width="20.7109375" customWidth="1"/>
    <col min="11" max="12" width="25.7109375" customWidth="1"/>
    <col min="13" max="13" width="0" hidden="1" customWidth="1"/>
    <col min="15" max="15" width="11.5703125" customWidth="1"/>
    <col min="18" max="18" width="11.28515625" customWidth="1"/>
    <col min="19" max="19" width="18.85546875" customWidth="1"/>
  </cols>
  <sheetData>
    <row r="1" spans="1:16" ht="35.1" customHeight="1" x14ac:dyDescent="0.5">
      <c r="A1" s="854" t="s">
        <v>191</v>
      </c>
      <c r="B1" s="855"/>
      <c r="C1" s="855"/>
      <c r="D1" s="855"/>
      <c r="F1" s="396" t="s">
        <v>223</v>
      </c>
      <c r="G1" s="330">
        <f>+G19+G42+G67+G90+G131</f>
        <v>23475</v>
      </c>
      <c r="H1" s="331" t="s">
        <v>173</v>
      </c>
      <c r="I1" s="1"/>
      <c r="J1" s="1"/>
      <c r="K1" s="1"/>
      <c r="L1" s="1"/>
    </row>
    <row r="2" spans="1:16" ht="9.9499999999999993" customHeight="1" x14ac:dyDescent="0.5">
      <c r="A2" s="39"/>
      <c r="B2" s="40"/>
      <c r="C2" s="76"/>
      <c r="D2" s="76"/>
      <c r="E2" s="76"/>
      <c r="F2" s="76"/>
      <c r="G2" s="76"/>
      <c r="H2" s="76"/>
      <c r="I2" s="42"/>
      <c r="J2" s="42"/>
      <c r="K2" s="42"/>
      <c r="L2" s="42"/>
    </row>
    <row r="3" spans="1:16" ht="35.1" customHeight="1" thickBot="1" x14ac:dyDescent="0.45">
      <c r="A3" s="852" t="s">
        <v>42</v>
      </c>
      <c r="B3" s="852"/>
      <c r="C3" s="852"/>
      <c r="D3" s="853"/>
      <c r="E3" s="853"/>
      <c r="F3" s="853"/>
      <c r="G3" s="853"/>
      <c r="H3" s="853"/>
      <c r="I3" s="55"/>
      <c r="J3" s="55"/>
      <c r="K3" s="1"/>
      <c r="L3" s="1"/>
    </row>
    <row r="4" spans="1:16" ht="24.95" customHeight="1" x14ac:dyDescent="0.4">
      <c r="A4" s="38"/>
      <c r="B4" s="38"/>
      <c r="C4" s="38"/>
      <c r="E4" s="37" t="s">
        <v>24</v>
      </c>
      <c r="I4" s="268" t="s">
        <v>189</v>
      </c>
      <c r="J4" s="278"/>
      <c r="K4" s="268" t="s">
        <v>176</v>
      </c>
      <c r="L4" s="269"/>
      <c r="O4" s="209"/>
      <c r="P4" s="210"/>
    </row>
    <row r="5" spans="1:16" ht="24.95" customHeight="1" thickBot="1" x14ac:dyDescent="0.4">
      <c r="A5" s="37" t="s">
        <v>7</v>
      </c>
      <c r="B5" s="75" t="s">
        <v>0</v>
      </c>
      <c r="C5" s="75" t="s">
        <v>1</v>
      </c>
      <c r="D5" s="75" t="s">
        <v>6</v>
      </c>
      <c r="E5" s="37" t="s">
        <v>25</v>
      </c>
      <c r="F5" s="75" t="s">
        <v>2</v>
      </c>
      <c r="G5" s="37" t="s">
        <v>16</v>
      </c>
      <c r="H5" s="75" t="s">
        <v>8</v>
      </c>
      <c r="I5" s="279" t="s">
        <v>3</v>
      </c>
      <c r="J5" s="280" t="s">
        <v>4</v>
      </c>
      <c r="K5" s="276" t="s">
        <v>3</v>
      </c>
      <c r="L5" s="277" t="s">
        <v>4</v>
      </c>
    </row>
    <row r="6" spans="1:16" ht="30" customHeight="1" x14ac:dyDescent="0.25">
      <c r="A6" s="88" t="s">
        <v>83</v>
      </c>
      <c r="B6" s="89" t="s">
        <v>15</v>
      </c>
      <c r="C6" s="89" t="s">
        <v>81</v>
      </c>
      <c r="D6" s="89" t="s">
        <v>82</v>
      </c>
      <c r="E6" s="90">
        <v>1.03</v>
      </c>
      <c r="F6" s="89" t="s">
        <v>96</v>
      </c>
      <c r="G6" s="138">
        <v>1125</v>
      </c>
      <c r="H6" s="91" t="s">
        <v>11</v>
      </c>
      <c r="I6" s="252">
        <v>65</v>
      </c>
      <c r="J6" s="246">
        <f t="shared" ref="J6:J14" si="0">+I6*G6</f>
        <v>73125</v>
      </c>
      <c r="K6" s="275">
        <v>61.99</v>
      </c>
      <c r="L6" s="275">
        <f t="shared" ref="L6:L14" si="1">+K6*G6</f>
        <v>69738.75</v>
      </c>
      <c r="O6" s="207"/>
      <c r="P6" s="208"/>
    </row>
    <row r="7" spans="1:16" ht="24.95" customHeight="1" x14ac:dyDescent="0.2">
      <c r="A7" s="339" t="s">
        <v>206</v>
      </c>
      <c r="B7" s="95" t="s">
        <v>88</v>
      </c>
      <c r="C7" s="95" t="s">
        <v>36</v>
      </c>
      <c r="D7" s="95" t="s">
        <v>85</v>
      </c>
      <c r="E7" s="96">
        <v>1.02</v>
      </c>
      <c r="F7" s="95" t="s">
        <v>37</v>
      </c>
      <c r="G7" s="97">
        <v>152</v>
      </c>
      <c r="H7" s="97" t="s">
        <v>23</v>
      </c>
      <c r="I7" s="248">
        <v>100</v>
      </c>
      <c r="J7" s="240">
        <f t="shared" si="0"/>
        <v>15200</v>
      </c>
      <c r="K7" s="228">
        <v>80.44</v>
      </c>
      <c r="L7" s="228">
        <f t="shared" si="1"/>
        <v>12226.88</v>
      </c>
    </row>
    <row r="8" spans="1:16" ht="30" customHeight="1" x14ac:dyDescent="0.25">
      <c r="A8" s="88" t="s">
        <v>86</v>
      </c>
      <c r="B8" s="89" t="s">
        <v>15</v>
      </c>
      <c r="C8" s="89" t="s">
        <v>87</v>
      </c>
      <c r="D8" s="89" t="s">
        <v>89</v>
      </c>
      <c r="E8" s="90">
        <v>0.14000000000000001</v>
      </c>
      <c r="F8" s="89" t="s">
        <v>96</v>
      </c>
      <c r="G8" s="91">
        <v>182</v>
      </c>
      <c r="H8" s="91" t="s">
        <v>11</v>
      </c>
      <c r="I8" s="248">
        <v>100</v>
      </c>
      <c r="J8" s="240">
        <f t="shared" si="0"/>
        <v>18200</v>
      </c>
      <c r="K8" s="228">
        <v>84.81</v>
      </c>
      <c r="L8" s="228">
        <f t="shared" si="1"/>
        <v>15435.42</v>
      </c>
      <c r="M8" s="7"/>
    </row>
    <row r="9" spans="1:16" ht="30" customHeight="1" x14ac:dyDescent="0.25">
      <c r="A9" s="88" t="s">
        <v>90</v>
      </c>
      <c r="B9" s="89" t="s">
        <v>15</v>
      </c>
      <c r="C9" s="89" t="s">
        <v>91</v>
      </c>
      <c r="D9" s="143" t="s">
        <v>92</v>
      </c>
      <c r="E9" s="90">
        <v>0.41</v>
      </c>
      <c r="F9" s="89" t="s">
        <v>96</v>
      </c>
      <c r="G9" s="91">
        <v>498</v>
      </c>
      <c r="H9" s="91" t="s">
        <v>11</v>
      </c>
      <c r="I9" s="248">
        <v>80</v>
      </c>
      <c r="J9" s="240">
        <f t="shared" si="0"/>
        <v>39840</v>
      </c>
      <c r="K9" s="228">
        <v>73.069999999999993</v>
      </c>
      <c r="L9" s="228">
        <f t="shared" si="1"/>
        <v>36388.859999999993</v>
      </c>
      <c r="M9" s="7"/>
    </row>
    <row r="10" spans="1:16" ht="30" customHeight="1" x14ac:dyDescent="0.25">
      <c r="A10" s="88" t="s">
        <v>93</v>
      </c>
      <c r="B10" s="89" t="s">
        <v>15</v>
      </c>
      <c r="C10" s="89" t="s">
        <v>94</v>
      </c>
      <c r="D10" s="89" t="s">
        <v>225</v>
      </c>
      <c r="E10" s="90">
        <v>0.21</v>
      </c>
      <c r="F10" s="89" t="s">
        <v>96</v>
      </c>
      <c r="G10" s="91">
        <v>205</v>
      </c>
      <c r="H10" s="91" t="s">
        <v>11</v>
      </c>
      <c r="I10" s="248">
        <v>80</v>
      </c>
      <c r="J10" s="240">
        <f t="shared" si="0"/>
        <v>16400</v>
      </c>
      <c r="K10" s="228">
        <v>72.59</v>
      </c>
      <c r="L10" s="228">
        <f t="shared" si="1"/>
        <v>14880.95</v>
      </c>
      <c r="M10" s="7"/>
    </row>
    <row r="11" spans="1:16" ht="30" customHeight="1" x14ac:dyDescent="0.2">
      <c r="A11" s="88" t="s">
        <v>97</v>
      </c>
      <c r="B11" s="89" t="s">
        <v>15</v>
      </c>
      <c r="C11" s="89" t="s">
        <v>98</v>
      </c>
      <c r="D11" s="89" t="s">
        <v>99</v>
      </c>
      <c r="E11" s="90">
        <v>0.13</v>
      </c>
      <c r="F11" s="89" t="s">
        <v>96</v>
      </c>
      <c r="G11" s="91">
        <v>124</v>
      </c>
      <c r="H11" s="91" t="s">
        <v>11</v>
      </c>
      <c r="I11" s="248">
        <v>100</v>
      </c>
      <c r="J11" s="240">
        <f t="shared" si="0"/>
        <v>12400</v>
      </c>
      <c r="K11" s="228">
        <v>74.459999999999994</v>
      </c>
      <c r="L11" s="228">
        <f t="shared" si="1"/>
        <v>9233.0399999999991</v>
      </c>
    </row>
    <row r="12" spans="1:16" ht="30" customHeight="1" x14ac:dyDescent="0.2">
      <c r="A12" s="88" t="s">
        <v>100</v>
      </c>
      <c r="B12" s="89" t="s">
        <v>15</v>
      </c>
      <c r="C12" s="89" t="s">
        <v>101</v>
      </c>
      <c r="D12" s="89" t="s">
        <v>226</v>
      </c>
      <c r="E12" s="90">
        <v>0.3</v>
      </c>
      <c r="F12" s="89" t="s">
        <v>96</v>
      </c>
      <c r="G12" s="91">
        <v>300</v>
      </c>
      <c r="H12" s="91" t="s">
        <v>11</v>
      </c>
      <c r="I12" s="248">
        <v>80</v>
      </c>
      <c r="J12" s="240">
        <f t="shared" si="0"/>
        <v>24000</v>
      </c>
      <c r="K12" s="228">
        <v>72.010000000000005</v>
      </c>
      <c r="L12" s="228">
        <f t="shared" si="1"/>
        <v>21603</v>
      </c>
    </row>
    <row r="13" spans="1:16" ht="39.950000000000003" customHeight="1" thickBot="1" x14ac:dyDescent="0.25">
      <c r="A13" s="183" t="s">
        <v>103</v>
      </c>
      <c r="B13" s="184" t="s">
        <v>15</v>
      </c>
      <c r="C13" s="184" t="s">
        <v>104</v>
      </c>
      <c r="D13" s="184" t="s">
        <v>105</v>
      </c>
      <c r="E13" s="185">
        <v>0.5</v>
      </c>
      <c r="F13" s="184" t="s">
        <v>96</v>
      </c>
      <c r="G13" s="186">
        <v>480</v>
      </c>
      <c r="H13" s="186" t="s">
        <v>11</v>
      </c>
      <c r="I13" s="249">
        <v>80</v>
      </c>
      <c r="J13" s="240">
        <f t="shared" si="0"/>
        <v>38400</v>
      </c>
      <c r="K13" s="228">
        <v>75.180000000000007</v>
      </c>
      <c r="L13" s="228">
        <f t="shared" si="1"/>
        <v>36086.400000000001</v>
      </c>
    </row>
    <row r="14" spans="1:16" ht="30" customHeight="1" x14ac:dyDescent="0.2">
      <c r="A14" s="295" t="s">
        <v>188</v>
      </c>
      <c r="B14" s="151" t="s">
        <v>5</v>
      </c>
      <c r="C14" s="151" t="s">
        <v>107</v>
      </c>
      <c r="D14" s="151" t="s">
        <v>108</v>
      </c>
      <c r="E14" s="152">
        <v>0.04</v>
      </c>
      <c r="F14" s="151" t="s">
        <v>109</v>
      </c>
      <c r="G14" s="394">
        <v>53</v>
      </c>
      <c r="H14" s="154" t="s">
        <v>11</v>
      </c>
      <c r="I14" s="250">
        <v>200</v>
      </c>
      <c r="J14" s="240">
        <f t="shared" si="0"/>
        <v>10600</v>
      </c>
      <c r="K14" s="228">
        <v>112.05</v>
      </c>
      <c r="L14" s="228">
        <f t="shared" si="1"/>
        <v>5938.65</v>
      </c>
    </row>
    <row r="15" spans="1:16" ht="30" customHeight="1" thickBot="1" x14ac:dyDescent="0.25">
      <c r="A15" s="172"/>
      <c r="B15" s="173"/>
      <c r="C15" s="173"/>
      <c r="D15" s="173"/>
      <c r="E15" s="205"/>
      <c r="F15" s="128" t="s">
        <v>110</v>
      </c>
      <c r="G15" s="163"/>
      <c r="H15" s="163"/>
      <c r="I15" s="251"/>
      <c r="J15" s="240"/>
      <c r="K15" s="228"/>
      <c r="L15" s="228"/>
    </row>
    <row r="16" spans="1:16" ht="30" customHeight="1" x14ac:dyDescent="0.2">
      <c r="A16" s="291" t="s">
        <v>183</v>
      </c>
      <c r="B16" s="145" t="s">
        <v>14</v>
      </c>
      <c r="C16" s="145" t="s">
        <v>111</v>
      </c>
      <c r="D16" s="145" t="s">
        <v>112</v>
      </c>
      <c r="E16" s="146">
        <v>0.68</v>
      </c>
      <c r="F16" s="145" t="s">
        <v>113</v>
      </c>
      <c r="G16" s="147">
        <v>720</v>
      </c>
      <c r="H16" s="147" t="s">
        <v>11</v>
      </c>
      <c r="I16" s="252">
        <v>70</v>
      </c>
      <c r="J16" s="240">
        <f>+I16*G16</f>
        <v>50400</v>
      </c>
      <c r="K16" s="228">
        <v>68.5</v>
      </c>
      <c r="L16" s="228">
        <f>+K16*G16</f>
        <v>49320</v>
      </c>
    </row>
    <row r="17" spans="1:12" ht="30" customHeight="1" x14ac:dyDescent="0.2">
      <c r="A17" s="340" t="s">
        <v>106</v>
      </c>
      <c r="B17" s="341" t="s">
        <v>14</v>
      </c>
      <c r="C17" s="341" t="s">
        <v>114</v>
      </c>
      <c r="D17" s="341" t="s">
        <v>115</v>
      </c>
      <c r="E17" s="342">
        <v>0.39</v>
      </c>
      <c r="F17" s="341" t="s">
        <v>117</v>
      </c>
      <c r="G17" s="343">
        <v>580</v>
      </c>
      <c r="H17" s="343" t="s">
        <v>11</v>
      </c>
      <c r="I17" s="344">
        <v>70</v>
      </c>
      <c r="J17" s="345">
        <f>+I17*G17</f>
        <v>40600</v>
      </c>
      <c r="K17" s="344">
        <v>68.5</v>
      </c>
      <c r="L17" s="344">
        <f>+K17*G17</f>
        <v>39730</v>
      </c>
    </row>
    <row r="18" spans="1:12" ht="30" customHeight="1" thickBot="1" x14ac:dyDescent="0.3">
      <c r="A18" s="346"/>
      <c r="B18" s="116"/>
      <c r="C18" s="116"/>
      <c r="D18" s="116"/>
      <c r="E18" s="347"/>
      <c r="F18" s="348" t="s">
        <v>116</v>
      </c>
      <c r="G18" s="259"/>
      <c r="H18" s="260"/>
      <c r="I18" s="255"/>
      <c r="J18" s="256"/>
      <c r="K18" s="349"/>
      <c r="L18" s="349"/>
    </row>
    <row r="19" spans="1:12" ht="30" customHeight="1" thickBot="1" x14ac:dyDescent="0.25">
      <c r="A19" s="253"/>
      <c r="B19" s="86"/>
      <c r="C19" s="86"/>
      <c r="D19" s="86"/>
      <c r="E19" s="254"/>
      <c r="F19" s="86"/>
      <c r="G19" s="261">
        <f>SUM(G6:G16)</f>
        <v>3839</v>
      </c>
      <c r="H19" s="262" t="s">
        <v>11</v>
      </c>
      <c r="I19" s="258" t="s">
        <v>177</v>
      </c>
      <c r="J19" s="258">
        <f>SUM(J6:J16)</f>
        <v>298565</v>
      </c>
      <c r="K19" s="258" t="s">
        <v>177</v>
      </c>
      <c r="L19" s="258">
        <f>SUM(L6:L16)</f>
        <v>270851.95</v>
      </c>
    </row>
    <row r="20" spans="1:12" ht="30" customHeight="1" thickBot="1" x14ac:dyDescent="0.3">
      <c r="A20" s="321" t="s">
        <v>106</v>
      </c>
      <c r="B20" s="322" t="s">
        <v>187</v>
      </c>
      <c r="C20" s="323"/>
      <c r="D20" s="323"/>
      <c r="E20" s="22"/>
      <c r="F20" s="86"/>
      <c r="G20" s="80"/>
      <c r="H20" s="10"/>
      <c r="I20" s="80"/>
      <c r="J20" s="80"/>
      <c r="K20" s="218"/>
      <c r="L20" s="218"/>
    </row>
    <row r="21" spans="1:12" ht="30" customHeight="1" thickBot="1" x14ac:dyDescent="0.4">
      <c r="A21" s="28"/>
      <c r="B21" s="21"/>
      <c r="C21" s="21"/>
      <c r="D21" s="2"/>
      <c r="E21" s="2"/>
      <c r="F21" s="131" t="s">
        <v>47</v>
      </c>
      <c r="G21" s="122" t="s">
        <v>8</v>
      </c>
      <c r="H21" s="122" t="s">
        <v>3</v>
      </c>
      <c r="I21" s="270" t="s">
        <v>3</v>
      </c>
      <c r="J21" s="124" t="s">
        <v>4</v>
      </c>
      <c r="K21" s="282" t="s">
        <v>3</v>
      </c>
      <c r="L21" s="283" t="s">
        <v>4</v>
      </c>
    </row>
    <row r="22" spans="1:12" ht="30" customHeight="1" thickTop="1" x14ac:dyDescent="0.25">
      <c r="A22" s="28"/>
      <c r="B22" s="849" t="s">
        <v>48</v>
      </c>
      <c r="C22" s="850"/>
      <c r="D22" s="851"/>
      <c r="E22" s="2"/>
      <c r="F22" s="134" t="s">
        <v>61</v>
      </c>
      <c r="G22" s="139">
        <v>3500</v>
      </c>
      <c r="H22" s="91" t="s">
        <v>9</v>
      </c>
      <c r="I22" s="239">
        <v>2.5</v>
      </c>
      <c r="J22" s="272">
        <f t="shared" ref="J22:J27" si="2">+I22*G22</f>
        <v>8750</v>
      </c>
      <c r="K22" s="284">
        <v>2.0499999999999998</v>
      </c>
      <c r="L22" s="275">
        <f t="shared" ref="L22:L27" si="3">+K22*G22</f>
        <v>7174.9999999999991</v>
      </c>
    </row>
    <row r="23" spans="1:12" ht="30" customHeight="1" thickBot="1" x14ac:dyDescent="0.3">
      <c r="A23" s="28"/>
      <c r="B23" s="846" t="s">
        <v>49</v>
      </c>
      <c r="C23" s="847"/>
      <c r="D23" s="848"/>
      <c r="E23" s="2"/>
      <c r="F23" s="134" t="s">
        <v>62</v>
      </c>
      <c r="G23" s="139">
        <v>7500</v>
      </c>
      <c r="H23" s="91" t="s">
        <v>9</v>
      </c>
      <c r="I23" s="239">
        <v>1.5</v>
      </c>
      <c r="J23" s="272">
        <f t="shared" si="2"/>
        <v>11250</v>
      </c>
      <c r="K23" s="271">
        <v>1.55</v>
      </c>
      <c r="L23" s="228">
        <f t="shared" si="3"/>
        <v>11625</v>
      </c>
    </row>
    <row r="24" spans="1:12" ht="30" customHeight="1" thickTop="1" thickBot="1" x14ac:dyDescent="0.3">
      <c r="A24" s="28"/>
      <c r="B24" s="844"/>
      <c r="C24" s="845"/>
      <c r="D24" s="79"/>
      <c r="E24" s="2"/>
      <c r="F24" s="134" t="s">
        <v>10</v>
      </c>
      <c r="G24" s="139">
        <v>25</v>
      </c>
      <c r="H24" s="91" t="s">
        <v>11</v>
      </c>
      <c r="I24" s="239">
        <v>200</v>
      </c>
      <c r="J24" s="272">
        <f t="shared" si="2"/>
        <v>5000</v>
      </c>
      <c r="K24" s="271">
        <v>190</v>
      </c>
      <c r="L24" s="228">
        <f t="shared" si="3"/>
        <v>4750</v>
      </c>
    </row>
    <row r="25" spans="1:12" ht="30" customHeight="1" thickBot="1" x14ac:dyDescent="0.4">
      <c r="A25" s="28"/>
      <c r="B25" s="75"/>
      <c r="C25" s="75"/>
      <c r="D25" s="137" t="s">
        <v>76</v>
      </c>
      <c r="E25" s="87"/>
      <c r="F25" s="136" t="s">
        <v>12</v>
      </c>
      <c r="G25" s="139">
        <v>75</v>
      </c>
      <c r="H25" s="91" t="s">
        <v>11</v>
      </c>
      <c r="I25" s="239">
        <v>150</v>
      </c>
      <c r="J25" s="272">
        <f t="shared" si="2"/>
        <v>11250</v>
      </c>
      <c r="K25" s="271">
        <v>140</v>
      </c>
      <c r="L25" s="228">
        <f t="shared" si="3"/>
        <v>10500</v>
      </c>
    </row>
    <row r="26" spans="1:12" ht="30" customHeight="1" x14ac:dyDescent="0.25">
      <c r="A26" s="858" t="s">
        <v>293</v>
      </c>
      <c r="B26" s="859"/>
      <c r="C26" s="859"/>
      <c r="D26" s="859"/>
      <c r="E26" s="859"/>
      <c r="F26" s="134" t="s">
        <v>13</v>
      </c>
      <c r="G26" s="139">
        <v>150</v>
      </c>
      <c r="H26" s="91" t="s">
        <v>11</v>
      </c>
      <c r="I26" s="239">
        <v>100</v>
      </c>
      <c r="J26" s="272">
        <f t="shared" si="2"/>
        <v>15000</v>
      </c>
      <c r="K26" s="271">
        <v>95</v>
      </c>
      <c r="L26" s="228">
        <f t="shared" si="3"/>
        <v>14250</v>
      </c>
    </row>
    <row r="27" spans="1:12" ht="30" customHeight="1" thickBot="1" x14ac:dyDescent="0.3">
      <c r="A27" s="856" t="s">
        <v>210</v>
      </c>
      <c r="B27" s="855"/>
      <c r="C27" s="855"/>
      <c r="D27" s="855"/>
      <c r="E27" s="855"/>
      <c r="F27" s="135" t="s">
        <v>19</v>
      </c>
      <c r="G27" s="140">
        <v>250</v>
      </c>
      <c r="H27" s="142" t="s">
        <v>11</v>
      </c>
      <c r="I27" s="241">
        <v>80</v>
      </c>
      <c r="J27" s="273">
        <f t="shared" si="2"/>
        <v>20000</v>
      </c>
      <c r="K27" s="271">
        <v>90</v>
      </c>
      <c r="L27" s="228">
        <f t="shared" si="3"/>
        <v>22500</v>
      </c>
    </row>
    <row r="28" spans="1:12" ht="30" customHeight="1" thickBot="1" x14ac:dyDescent="0.3">
      <c r="A28" s="856" t="s">
        <v>211</v>
      </c>
      <c r="B28" s="855"/>
      <c r="C28" s="855"/>
      <c r="D28" s="855"/>
      <c r="E28" s="855"/>
      <c r="F28" s="86"/>
      <c r="G28" s="225"/>
      <c r="H28" s="226"/>
      <c r="I28" s="258" t="s">
        <v>177</v>
      </c>
      <c r="J28" s="258">
        <f>SUM(J22:J27)</f>
        <v>71250</v>
      </c>
      <c r="K28" s="274" t="s">
        <v>177</v>
      </c>
      <c r="L28" s="227">
        <f>SUM(L22:L27)</f>
        <v>70800</v>
      </c>
    </row>
    <row r="29" spans="1:12" ht="9.9499999999999993" customHeight="1" x14ac:dyDescent="0.25">
      <c r="A29" s="81"/>
      <c r="B29" s="82"/>
      <c r="C29" s="82"/>
      <c r="F29" s="21"/>
      <c r="G29" s="7"/>
      <c r="H29" s="7"/>
      <c r="I29" s="7"/>
      <c r="J29" s="80"/>
      <c r="K29" s="218"/>
      <c r="L29" s="218"/>
    </row>
    <row r="30" spans="1:12" ht="9.9499999999999993" customHeight="1" x14ac:dyDescent="0.25">
      <c r="A30" s="34"/>
      <c r="B30" s="44"/>
      <c r="C30" s="44"/>
      <c r="D30" s="45"/>
      <c r="E30" s="46"/>
      <c r="F30" s="46"/>
      <c r="G30" s="46"/>
      <c r="H30" s="46"/>
      <c r="I30" s="47"/>
      <c r="J30" s="76"/>
      <c r="K30" s="219"/>
      <c r="L30" s="219"/>
    </row>
    <row r="31" spans="1:12" ht="35.1" customHeight="1" x14ac:dyDescent="0.5">
      <c r="A31" s="43" t="s">
        <v>54</v>
      </c>
      <c r="B31" s="82"/>
      <c r="C31" s="82"/>
      <c r="F31" s="396" t="s">
        <v>223</v>
      </c>
      <c r="G31" s="7"/>
      <c r="H31" s="7"/>
      <c r="I31" s="7"/>
      <c r="J31" s="80"/>
      <c r="K31" s="218"/>
      <c r="L31" s="218"/>
    </row>
    <row r="32" spans="1:12" ht="9.9499999999999993" customHeight="1" x14ac:dyDescent="0.25">
      <c r="A32" s="34"/>
      <c r="B32" s="44"/>
      <c r="C32" s="44"/>
      <c r="D32" s="45"/>
      <c r="E32" s="46"/>
      <c r="F32" s="46"/>
      <c r="G32" s="46"/>
      <c r="H32" s="46"/>
      <c r="I32" s="47"/>
      <c r="J32" s="76"/>
      <c r="K32" s="219"/>
      <c r="L32" s="219"/>
    </row>
    <row r="33" spans="1:16" ht="35.1" customHeight="1" thickBot="1" x14ac:dyDescent="0.45">
      <c r="A33" s="852" t="s">
        <v>43</v>
      </c>
      <c r="B33" s="852"/>
      <c r="C33" s="852"/>
      <c r="D33" s="853"/>
      <c r="E33" s="853"/>
      <c r="F33" s="853"/>
      <c r="G33" s="853"/>
      <c r="H33" s="853"/>
      <c r="I33" s="55"/>
      <c r="J33" s="55"/>
      <c r="K33" s="220"/>
      <c r="L33" s="220"/>
      <c r="M33" s="105"/>
    </row>
    <row r="34" spans="1:16" ht="24.95" customHeight="1" x14ac:dyDescent="0.4">
      <c r="A34" s="38"/>
      <c r="B34" s="38"/>
      <c r="C34" s="38"/>
      <c r="E34" s="37" t="s">
        <v>24</v>
      </c>
      <c r="I34" s="268" t="s">
        <v>189</v>
      </c>
      <c r="J34" s="278"/>
      <c r="K34" s="268" t="s">
        <v>176</v>
      </c>
      <c r="L34" s="269"/>
      <c r="M34" s="105"/>
    </row>
    <row r="35" spans="1:16" ht="24.95" customHeight="1" thickBot="1" x14ac:dyDescent="0.4">
      <c r="A35" s="37" t="s">
        <v>7</v>
      </c>
      <c r="B35" s="75" t="s">
        <v>0</v>
      </c>
      <c r="C35" s="75" t="s">
        <v>1</v>
      </c>
      <c r="D35" s="75" t="s">
        <v>6</v>
      </c>
      <c r="E35" s="37" t="s">
        <v>25</v>
      </c>
      <c r="F35" s="75" t="s">
        <v>2</v>
      </c>
      <c r="G35" s="37" t="s">
        <v>16</v>
      </c>
      <c r="H35" s="75" t="s">
        <v>8</v>
      </c>
      <c r="I35" s="279" t="s">
        <v>3</v>
      </c>
      <c r="J35" s="280" t="s">
        <v>4</v>
      </c>
      <c r="K35" s="276" t="s">
        <v>3</v>
      </c>
      <c r="L35" s="277" t="s">
        <v>4</v>
      </c>
      <c r="M35" s="105"/>
    </row>
    <row r="36" spans="1:16" s="2" customFormat="1" ht="36" customHeight="1" x14ac:dyDescent="0.25">
      <c r="A36" s="314" t="s">
        <v>219</v>
      </c>
      <c r="B36" s="95" t="s">
        <v>32</v>
      </c>
      <c r="C36" s="95" t="s">
        <v>163</v>
      </c>
      <c r="D36" s="95" t="s">
        <v>164</v>
      </c>
      <c r="E36" s="96">
        <v>0.27</v>
      </c>
      <c r="F36" s="95" t="s">
        <v>37</v>
      </c>
      <c r="G36" s="384">
        <v>130</v>
      </c>
      <c r="H36" s="97" t="s">
        <v>11</v>
      </c>
      <c r="I36" s="239">
        <v>100</v>
      </c>
      <c r="J36" s="239">
        <f t="shared" ref="J36:J41" si="4">+I36*G36</f>
        <v>13000</v>
      </c>
      <c r="K36" s="228">
        <v>86.53</v>
      </c>
      <c r="L36" s="228">
        <f t="shared" ref="L36:L41" si="5">+K36*G36</f>
        <v>11248.9</v>
      </c>
      <c r="M36" s="105"/>
      <c r="O36" s="207"/>
      <c r="P36" s="208"/>
    </row>
    <row r="37" spans="1:16" s="2" customFormat="1" ht="36" customHeight="1" x14ac:dyDescent="0.25">
      <c r="A37" s="381" t="s">
        <v>220</v>
      </c>
      <c r="B37" s="382" t="s">
        <v>32</v>
      </c>
      <c r="C37" s="382" t="s">
        <v>221</v>
      </c>
      <c r="D37" s="382" t="s">
        <v>222</v>
      </c>
      <c r="E37" s="383">
        <v>0.3</v>
      </c>
      <c r="F37" s="382" t="s">
        <v>37</v>
      </c>
      <c r="G37" s="384">
        <v>108</v>
      </c>
      <c r="H37" s="385" t="s">
        <v>11</v>
      </c>
      <c r="I37" s="387">
        <v>100</v>
      </c>
      <c r="J37" s="387">
        <f t="shared" si="4"/>
        <v>10800</v>
      </c>
      <c r="K37" s="388">
        <v>95</v>
      </c>
      <c r="L37" s="388">
        <f t="shared" si="5"/>
        <v>10260</v>
      </c>
      <c r="M37" s="105"/>
      <c r="O37" s="207"/>
      <c r="P37" s="208"/>
    </row>
    <row r="38" spans="1:16" s="2" customFormat="1" ht="36" customHeight="1" x14ac:dyDescent="0.25">
      <c r="A38" s="381" t="s">
        <v>194</v>
      </c>
      <c r="B38" s="382" t="s">
        <v>32</v>
      </c>
      <c r="C38" s="382" t="s">
        <v>132</v>
      </c>
      <c r="D38" s="382" t="s">
        <v>133</v>
      </c>
      <c r="E38" s="383">
        <v>0.5</v>
      </c>
      <c r="F38" s="389" t="s">
        <v>136</v>
      </c>
      <c r="G38" s="390">
        <v>520</v>
      </c>
      <c r="H38" s="391" t="s">
        <v>11</v>
      </c>
      <c r="I38" s="387">
        <v>80</v>
      </c>
      <c r="J38" s="387">
        <f t="shared" si="4"/>
        <v>41600</v>
      </c>
      <c r="K38" s="388">
        <v>77.81</v>
      </c>
      <c r="L38" s="388">
        <f t="shared" si="5"/>
        <v>40461.200000000004</v>
      </c>
      <c r="M38" s="105"/>
      <c r="O38" s="207"/>
      <c r="P38" s="208"/>
    </row>
    <row r="39" spans="1:16" s="2" customFormat="1" ht="36" customHeight="1" x14ac:dyDescent="0.2">
      <c r="A39" s="332" t="s">
        <v>218</v>
      </c>
      <c r="B39" s="89" t="s">
        <v>32</v>
      </c>
      <c r="C39" s="89" t="s">
        <v>165</v>
      </c>
      <c r="D39" s="89" t="s">
        <v>166</v>
      </c>
      <c r="E39" s="90">
        <v>0.23</v>
      </c>
      <c r="F39" s="89" t="s">
        <v>136</v>
      </c>
      <c r="G39" s="138">
        <v>220</v>
      </c>
      <c r="H39" s="97" t="s">
        <v>11</v>
      </c>
      <c r="I39" s="239">
        <v>80</v>
      </c>
      <c r="J39" s="239">
        <f t="shared" si="4"/>
        <v>17600</v>
      </c>
      <c r="K39" s="228">
        <v>77.81</v>
      </c>
      <c r="L39" s="228">
        <f t="shared" si="5"/>
        <v>17118.2</v>
      </c>
      <c r="M39" s="105"/>
    </row>
    <row r="40" spans="1:16" ht="30" customHeight="1" x14ac:dyDescent="0.2">
      <c r="A40" s="106" t="s">
        <v>186</v>
      </c>
      <c r="B40" s="95" t="s">
        <v>158</v>
      </c>
      <c r="C40" s="95" t="s">
        <v>81</v>
      </c>
      <c r="D40" s="95" t="s">
        <v>159</v>
      </c>
      <c r="E40" s="96">
        <v>0.1</v>
      </c>
      <c r="F40" s="95" t="s">
        <v>160</v>
      </c>
      <c r="G40" s="141">
        <v>142</v>
      </c>
      <c r="H40" s="97" t="s">
        <v>11</v>
      </c>
      <c r="I40" s="239">
        <v>100</v>
      </c>
      <c r="J40" s="239">
        <f t="shared" si="4"/>
        <v>14200</v>
      </c>
      <c r="K40" s="228">
        <v>85.61</v>
      </c>
      <c r="L40" s="228">
        <f t="shared" si="5"/>
        <v>12156.62</v>
      </c>
      <c r="M40" s="105"/>
    </row>
    <row r="41" spans="1:16" ht="30" customHeight="1" thickBot="1" x14ac:dyDescent="0.25">
      <c r="A41" s="106" t="s">
        <v>185</v>
      </c>
      <c r="B41" s="95" t="s">
        <v>158</v>
      </c>
      <c r="C41" s="95" t="s">
        <v>161</v>
      </c>
      <c r="D41" s="95" t="s">
        <v>162</v>
      </c>
      <c r="E41" s="96">
        <v>0.1</v>
      </c>
      <c r="F41" s="95" t="s">
        <v>37</v>
      </c>
      <c r="G41" s="236">
        <v>30</v>
      </c>
      <c r="H41" s="237" t="s">
        <v>11</v>
      </c>
      <c r="I41" s="241">
        <v>200</v>
      </c>
      <c r="J41" s="241">
        <f t="shared" si="4"/>
        <v>6000</v>
      </c>
      <c r="K41" s="257">
        <v>135</v>
      </c>
      <c r="L41" s="257">
        <f t="shared" si="5"/>
        <v>4050</v>
      </c>
      <c r="M41" s="105"/>
    </row>
    <row r="42" spans="1:16" ht="30" customHeight="1" thickBot="1" x14ac:dyDescent="0.3">
      <c r="A42" s="28"/>
      <c r="B42" s="21"/>
      <c r="C42" s="21"/>
      <c r="D42" s="21"/>
      <c r="E42" s="22"/>
      <c r="F42" s="82"/>
      <c r="G42" s="238">
        <f>SUM(G36:G41)</f>
        <v>1150</v>
      </c>
      <c r="H42" s="262" t="s">
        <v>11</v>
      </c>
      <c r="I42" s="258" t="s">
        <v>177</v>
      </c>
      <c r="J42" s="258">
        <f>SUM(J36:J41)</f>
        <v>103200</v>
      </c>
      <c r="K42" s="258" t="s">
        <v>177</v>
      </c>
      <c r="L42" s="258">
        <f>SUM(L36:L41)</f>
        <v>95294.92</v>
      </c>
      <c r="M42" s="105"/>
    </row>
    <row r="43" spans="1:16" ht="30" customHeight="1" thickBot="1" x14ac:dyDescent="0.3">
      <c r="A43" s="321" t="s">
        <v>106</v>
      </c>
      <c r="B43" s="322" t="s">
        <v>187</v>
      </c>
      <c r="C43" s="323"/>
      <c r="D43" s="323"/>
      <c r="E43" s="22"/>
      <c r="F43" s="82"/>
      <c r="G43" s="60"/>
      <c r="H43" s="80"/>
      <c r="I43" s="80"/>
      <c r="J43" s="80"/>
      <c r="K43" s="218"/>
      <c r="L43" s="218"/>
      <c r="M43" s="105"/>
    </row>
    <row r="44" spans="1:16" ht="30" customHeight="1" thickBot="1" x14ac:dyDescent="0.4">
      <c r="A44" s="28"/>
      <c r="B44" s="21"/>
      <c r="C44" s="21"/>
      <c r="D44" s="2"/>
      <c r="E44" s="2"/>
      <c r="F44" s="131" t="s">
        <v>47</v>
      </c>
      <c r="G44" s="122" t="s">
        <v>8</v>
      </c>
      <c r="H44" s="122" t="s">
        <v>3</v>
      </c>
      <c r="I44" s="270" t="s">
        <v>3</v>
      </c>
      <c r="J44" s="124" t="s">
        <v>4</v>
      </c>
      <c r="K44" s="282" t="s">
        <v>3</v>
      </c>
      <c r="L44" s="283" t="s">
        <v>4</v>
      </c>
      <c r="M44" s="105"/>
    </row>
    <row r="45" spans="1:16" ht="30" customHeight="1" thickTop="1" x14ac:dyDescent="0.25">
      <c r="A45" s="28"/>
      <c r="B45" s="849" t="s">
        <v>48</v>
      </c>
      <c r="C45" s="850"/>
      <c r="D45" s="851"/>
      <c r="E45" s="2"/>
      <c r="F45" s="134" t="s">
        <v>61</v>
      </c>
      <c r="G45" s="139">
        <v>3500</v>
      </c>
      <c r="H45" s="91" t="s">
        <v>9</v>
      </c>
      <c r="I45" s="239">
        <v>2.5</v>
      </c>
      <c r="J45" s="272">
        <f t="shared" ref="J45:J50" si="6">+I45*G45</f>
        <v>8750</v>
      </c>
      <c r="K45" s="275">
        <v>2.0499999999999998</v>
      </c>
      <c r="L45" s="275">
        <f t="shared" ref="L45:L50" si="7">+K45*G45</f>
        <v>7174.9999999999991</v>
      </c>
      <c r="M45" s="105"/>
    </row>
    <row r="46" spans="1:16" ht="30" customHeight="1" thickBot="1" x14ac:dyDescent="0.3">
      <c r="A46" s="28"/>
      <c r="B46" s="846" t="s">
        <v>49</v>
      </c>
      <c r="C46" s="847"/>
      <c r="D46" s="848"/>
      <c r="E46" s="2"/>
      <c r="F46" s="134" t="s">
        <v>62</v>
      </c>
      <c r="G46" s="139">
        <v>7500</v>
      </c>
      <c r="H46" s="91" t="s">
        <v>9</v>
      </c>
      <c r="I46" s="239">
        <v>1.5</v>
      </c>
      <c r="J46" s="272">
        <f t="shared" si="6"/>
        <v>11250</v>
      </c>
      <c r="K46" s="228">
        <v>1.55</v>
      </c>
      <c r="L46" s="228">
        <f t="shared" si="7"/>
        <v>11625</v>
      </c>
      <c r="M46" s="105"/>
    </row>
    <row r="47" spans="1:16" ht="30" customHeight="1" thickTop="1" thickBot="1" x14ac:dyDescent="0.3">
      <c r="A47" s="28"/>
      <c r="B47" s="844"/>
      <c r="C47" s="845"/>
      <c r="D47" s="79"/>
      <c r="E47" s="2"/>
      <c r="F47" s="134" t="s">
        <v>10</v>
      </c>
      <c r="G47" s="139">
        <v>25</v>
      </c>
      <c r="H47" s="91" t="s">
        <v>11</v>
      </c>
      <c r="I47" s="239">
        <v>200</v>
      </c>
      <c r="J47" s="272">
        <f t="shared" si="6"/>
        <v>5000</v>
      </c>
      <c r="K47" s="228">
        <v>190</v>
      </c>
      <c r="L47" s="228">
        <f t="shared" si="7"/>
        <v>4750</v>
      </c>
      <c r="M47" s="105"/>
    </row>
    <row r="48" spans="1:16" ht="30" customHeight="1" thickBot="1" x14ac:dyDescent="0.4">
      <c r="A48" s="28"/>
      <c r="B48" s="75"/>
      <c r="C48" s="75"/>
      <c r="D48" s="137" t="s">
        <v>76</v>
      </c>
      <c r="E48" s="87"/>
      <c r="F48" s="136" t="s">
        <v>12</v>
      </c>
      <c r="G48" s="139">
        <v>75</v>
      </c>
      <c r="H48" s="91" t="s">
        <v>11</v>
      </c>
      <c r="I48" s="239">
        <v>150</v>
      </c>
      <c r="J48" s="272">
        <f t="shared" si="6"/>
        <v>11250</v>
      </c>
      <c r="K48" s="228">
        <v>140</v>
      </c>
      <c r="L48" s="228">
        <f t="shared" si="7"/>
        <v>10500</v>
      </c>
      <c r="M48" s="105"/>
    </row>
    <row r="49" spans="1:16" ht="30" customHeight="1" x14ac:dyDescent="0.25">
      <c r="A49" s="28"/>
      <c r="B49" s="21"/>
      <c r="C49" s="21"/>
      <c r="D49" s="78"/>
      <c r="E49" s="2"/>
      <c r="F49" s="134" t="s">
        <v>13</v>
      </c>
      <c r="G49" s="139">
        <v>150</v>
      </c>
      <c r="H49" s="91" t="s">
        <v>11</v>
      </c>
      <c r="I49" s="239">
        <v>100</v>
      </c>
      <c r="J49" s="272">
        <f t="shared" si="6"/>
        <v>15000</v>
      </c>
      <c r="K49" s="228">
        <v>95</v>
      </c>
      <c r="L49" s="228">
        <f t="shared" si="7"/>
        <v>14250</v>
      </c>
      <c r="M49" s="105"/>
    </row>
    <row r="50" spans="1:16" ht="30" customHeight="1" thickBot="1" x14ac:dyDescent="0.3">
      <c r="A50" s="856" t="s">
        <v>210</v>
      </c>
      <c r="B50" s="855"/>
      <c r="C50" s="855"/>
      <c r="D50" s="855"/>
      <c r="E50" s="855"/>
      <c r="F50" s="135" t="s">
        <v>19</v>
      </c>
      <c r="G50" s="140">
        <v>250</v>
      </c>
      <c r="H50" s="142" t="s">
        <v>11</v>
      </c>
      <c r="I50" s="241">
        <v>80</v>
      </c>
      <c r="J50" s="273">
        <f t="shared" si="6"/>
        <v>20000</v>
      </c>
      <c r="K50" s="257">
        <v>90</v>
      </c>
      <c r="L50" s="257">
        <f t="shared" si="7"/>
        <v>22500</v>
      </c>
      <c r="M50" s="105"/>
    </row>
    <row r="51" spans="1:16" ht="30" customHeight="1" thickBot="1" x14ac:dyDescent="0.3">
      <c r="A51" s="856" t="s">
        <v>211</v>
      </c>
      <c r="B51" s="855"/>
      <c r="C51" s="855"/>
      <c r="D51" s="855"/>
      <c r="E51" s="855"/>
      <c r="F51" s="86"/>
      <c r="G51" s="225"/>
      <c r="H51" s="226"/>
      <c r="I51" s="258" t="s">
        <v>177</v>
      </c>
      <c r="J51" s="258">
        <f>SUM(J45:J50)</f>
        <v>71250</v>
      </c>
      <c r="K51" s="258" t="s">
        <v>177</v>
      </c>
      <c r="L51" s="258">
        <f>SUM(L45:L50)</f>
        <v>70800</v>
      </c>
      <c r="M51" s="105"/>
    </row>
    <row r="52" spans="1:16" ht="9.9499999999999993" customHeight="1" x14ac:dyDescent="0.25">
      <c r="A52" s="81"/>
      <c r="B52" s="82"/>
      <c r="C52" s="82"/>
      <c r="D52" s="82"/>
      <c r="E52" s="83"/>
      <c r="F52" s="82"/>
      <c r="G52" s="60"/>
      <c r="H52" s="80"/>
      <c r="I52" s="80"/>
      <c r="J52" s="80"/>
      <c r="K52" s="218"/>
      <c r="L52" s="218"/>
      <c r="M52" s="111"/>
    </row>
    <row r="53" spans="1:16" ht="9.9499999999999993" customHeight="1" x14ac:dyDescent="0.25">
      <c r="A53" s="34"/>
      <c r="B53" s="44"/>
      <c r="C53" s="44"/>
      <c r="D53" s="44"/>
      <c r="E53" s="56"/>
      <c r="F53" s="44"/>
      <c r="G53" s="57"/>
      <c r="H53" s="47"/>
      <c r="I53" s="47"/>
      <c r="J53" s="44"/>
      <c r="K53" s="221"/>
      <c r="L53" s="221"/>
      <c r="M53" s="105"/>
    </row>
    <row r="54" spans="1:16" ht="35.1" customHeight="1" x14ac:dyDescent="0.5">
      <c r="A54" s="43" t="s">
        <v>54</v>
      </c>
      <c r="B54" s="82"/>
      <c r="C54" s="82"/>
      <c r="D54" s="82"/>
      <c r="E54" s="83"/>
      <c r="F54" s="396" t="s">
        <v>223</v>
      </c>
      <c r="G54" s="60"/>
      <c r="H54" s="80"/>
      <c r="I54" s="80"/>
      <c r="J54" s="82"/>
      <c r="K54" s="222"/>
      <c r="L54" s="222"/>
      <c r="M54" s="105"/>
    </row>
    <row r="55" spans="1:16" ht="9.9499999999999993" customHeight="1" x14ac:dyDescent="0.5">
      <c r="A55" s="70"/>
      <c r="B55" s="45"/>
      <c r="C55" s="45"/>
      <c r="D55" s="45"/>
      <c r="E55" s="66"/>
      <c r="F55" s="45"/>
      <c r="G55" s="67"/>
      <c r="H55" s="46"/>
      <c r="I55" s="46"/>
      <c r="J55" s="45"/>
      <c r="K55" s="221"/>
      <c r="L55" s="221"/>
      <c r="M55" s="105"/>
    </row>
    <row r="56" spans="1:16" ht="35.1" customHeight="1" thickBot="1" x14ac:dyDescent="0.45">
      <c r="A56" s="852" t="s">
        <v>44</v>
      </c>
      <c r="B56" s="852"/>
      <c r="C56" s="852"/>
      <c r="D56" s="853"/>
      <c r="E56" s="853"/>
      <c r="F56" s="853"/>
      <c r="G56" s="853"/>
      <c r="H56" s="853"/>
      <c r="I56" s="55"/>
      <c r="J56" s="55"/>
      <c r="K56" s="220"/>
      <c r="L56" s="220"/>
      <c r="M56" s="105"/>
    </row>
    <row r="57" spans="1:16" ht="35.1" customHeight="1" x14ac:dyDescent="0.4">
      <c r="A57" s="38"/>
      <c r="B57" s="38"/>
      <c r="C57" s="38"/>
      <c r="E57" s="37" t="s">
        <v>24</v>
      </c>
      <c r="I57" s="268" t="s">
        <v>189</v>
      </c>
      <c r="J57" s="286"/>
      <c r="K57" s="268" t="s">
        <v>176</v>
      </c>
      <c r="L57" s="269"/>
      <c r="M57" s="105"/>
    </row>
    <row r="58" spans="1:16" ht="24.95" customHeight="1" thickBot="1" x14ac:dyDescent="0.4">
      <c r="A58" s="37" t="s">
        <v>7</v>
      </c>
      <c r="B58" s="75" t="s">
        <v>0</v>
      </c>
      <c r="C58" s="75" t="s">
        <v>1</v>
      </c>
      <c r="D58" s="75" t="s">
        <v>6</v>
      </c>
      <c r="E58" s="37" t="s">
        <v>25</v>
      </c>
      <c r="F58" s="75" t="s">
        <v>2</v>
      </c>
      <c r="G58" s="37" t="s">
        <v>16</v>
      </c>
      <c r="H58" s="75" t="s">
        <v>8</v>
      </c>
      <c r="I58" s="279" t="s">
        <v>3</v>
      </c>
      <c r="J58" s="280" t="s">
        <v>4</v>
      </c>
      <c r="K58" s="276" t="s">
        <v>3</v>
      </c>
      <c r="L58" s="277" t="s">
        <v>4</v>
      </c>
      <c r="M58" s="105"/>
    </row>
    <row r="59" spans="1:16" ht="24.95" customHeight="1" thickBot="1" x14ac:dyDescent="0.3">
      <c r="A59" s="190">
        <v>122</v>
      </c>
      <c r="B59" s="184" t="s">
        <v>20</v>
      </c>
      <c r="C59" s="184" t="s">
        <v>153</v>
      </c>
      <c r="D59" s="184" t="s">
        <v>154</v>
      </c>
      <c r="E59" s="185">
        <v>0.98</v>
      </c>
      <c r="F59" s="184" t="s">
        <v>136</v>
      </c>
      <c r="G59" s="191">
        <v>1045</v>
      </c>
      <c r="H59" s="186" t="s">
        <v>11</v>
      </c>
      <c r="I59" s="263">
        <v>65</v>
      </c>
      <c r="J59" s="285">
        <f>+I59*G59</f>
        <v>67925</v>
      </c>
      <c r="K59" s="275">
        <v>66.42</v>
      </c>
      <c r="L59" s="275">
        <f>+K59*G59</f>
        <v>69408.900000000009</v>
      </c>
      <c r="M59" s="105"/>
      <c r="O59" s="207"/>
      <c r="P59" s="208"/>
    </row>
    <row r="60" spans="1:16" ht="24.95" customHeight="1" x14ac:dyDescent="0.2">
      <c r="A60" s="149">
        <v>124</v>
      </c>
      <c r="B60" s="151" t="s">
        <v>20</v>
      </c>
      <c r="C60" s="151" t="s">
        <v>153</v>
      </c>
      <c r="D60" s="151" t="s">
        <v>155</v>
      </c>
      <c r="E60" s="152">
        <v>0.08</v>
      </c>
      <c r="F60" s="151" t="s">
        <v>156</v>
      </c>
      <c r="G60" s="153">
        <v>120</v>
      </c>
      <c r="H60" s="154" t="s">
        <v>11</v>
      </c>
      <c r="I60" s="243">
        <v>100</v>
      </c>
      <c r="J60" s="242">
        <f>+I60*G60</f>
        <v>12000</v>
      </c>
      <c r="K60" s="228">
        <v>66.42</v>
      </c>
      <c r="L60" s="228">
        <f>+K60*G60</f>
        <v>7970.4000000000005</v>
      </c>
      <c r="M60" s="105"/>
    </row>
    <row r="61" spans="1:16" ht="24.95" customHeight="1" thickBot="1" x14ac:dyDescent="0.25">
      <c r="A61" s="172"/>
      <c r="B61" s="173"/>
      <c r="C61" s="173"/>
      <c r="D61" s="173"/>
      <c r="E61" s="174"/>
      <c r="F61" s="128" t="s">
        <v>150</v>
      </c>
      <c r="G61" s="204"/>
      <c r="H61" s="189"/>
      <c r="I61" s="245"/>
      <c r="J61" s="245"/>
      <c r="K61" s="228"/>
      <c r="L61" s="228"/>
      <c r="M61" s="105"/>
    </row>
    <row r="62" spans="1:16" ht="30" customHeight="1" thickBot="1" x14ac:dyDescent="0.25">
      <c r="A62" s="198">
        <v>121</v>
      </c>
      <c r="B62" s="199" t="s">
        <v>20</v>
      </c>
      <c r="C62" s="199" t="s">
        <v>134</v>
      </c>
      <c r="D62" s="199" t="s">
        <v>135</v>
      </c>
      <c r="E62" s="200">
        <v>0.99</v>
      </c>
      <c r="F62" s="199" t="s">
        <v>136</v>
      </c>
      <c r="G62" s="201">
        <v>1100</v>
      </c>
      <c r="H62" s="202" t="s">
        <v>11</v>
      </c>
      <c r="I62" s="263">
        <v>65</v>
      </c>
      <c r="J62" s="242">
        <f>+I62*G62</f>
        <v>71500</v>
      </c>
      <c r="K62" s="228">
        <v>64.69</v>
      </c>
      <c r="L62" s="228">
        <f>+K62*G62</f>
        <v>71159</v>
      </c>
      <c r="M62" s="105"/>
    </row>
    <row r="63" spans="1:16" ht="30" customHeight="1" x14ac:dyDescent="0.2">
      <c r="A63" s="379" t="s">
        <v>30</v>
      </c>
      <c r="B63" s="353" t="s">
        <v>20</v>
      </c>
      <c r="C63" s="353" t="s">
        <v>137</v>
      </c>
      <c r="D63" s="353" t="s">
        <v>138</v>
      </c>
      <c r="E63" s="354">
        <v>0.01</v>
      </c>
      <c r="F63" s="353" t="s">
        <v>34</v>
      </c>
      <c r="G63" s="355">
        <v>200</v>
      </c>
      <c r="H63" s="355" t="s">
        <v>11</v>
      </c>
      <c r="I63" s="356">
        <v>100</v>
      </c>
      <c r="J63" s="357">
        <f>+I63*G63</f>
        <v>20000</v>
      </c>
      <c r="K63" s="358">
        <v>83.02</v>
      </c>
      <c r="L63" s="358">
        <f>+K63*G63</f>
        <v>16604</v>
      </c>
      <c r="M63" s="105"/>
    </row>
    <row r="64" spans="1:16" ht="30" customHeight="1" thickBot="1" x14ac:dyDescent="0.25">
      <c r="A64" s="172"/>
      <c r="B64" s="173"/>
      <c r="C64" s="173"/>
      <c r="D64" s="173"/>
      <c r="E64" s="174"/>
      <c r="F64" s="128" t="s">
        <v>150</v>
      </c>
      <c r="G64" s="188"/>
      <c r="H64" s="189"/>
      <c r="I64" s="245"/>
      <c r="J64" s="245"/>
      <c r="K64" s="228"/>
      <c r="L64" s="228"/>
      <c r="M64" s="105"/>
    </row>
    <row r="65" spans="1:13" ht="36" customHeight="1" x14ac:dyDescent="0.2">
      <c r="A65" s="324">
        <v>113</v>
      </c>
      <c r="B65" s="89" t="s">
        <v>31</v>
      </c>
      <c r="C65" s="89" t="s">
        <v>134</v>
      </c>
      <c r="D65" s="89" t="s">
        <v>202</v>
      </c>
      <c r="E65" s="90">
        <v>0.54</v>
      </c>
      <c r="F65" s="89" t="s">
        <v>136</v>
      </c>
      <c r="G65" s="91">
        <v>570</v>
      </c>
      <c r="H65" s="91" t="s">
        <v>11</v>
      </c>
      <c r="I65" s="239">
        <v>70</v>
      </c>
      <c r="J65" s="242">
        <f>+I65*G65</f>
        <v>39900</v>
      </c>
      <c r="K65" s="228">
        <v>64.69</v>
      </c>
      <c r="L65" s="228">
        <f>+K65*G65</f>
        <v>36873.299999999996</v>
      </c>
      <c r="M65" s="105"/>
    </row>
    <row r="66" spans="1:13" ht="36" customHeight="1" thickBot="1" x14ac:dyDescent="0.25">
      <c r="A66" s="359" t="s">
        <v>30</v>
      </c>
      <c r="B66" s="360" t="s">
        <v>31</v>
      </c>
      <c r="C66" s="360" t="s">
        <v>139</v>
      </c>
      <c r="D66" s="360" t="s">
        <v>140</v>
      </c>
      <c r="E66" s="361">
        <v>1</v>
      </c>
      <c r="F66" s="360" t="s">
        <v>37</v>
      </c>
      <c r="G66" s="362">
        <v>290</v>
      </c>
      <c r="H66" s="362" t="s">
        <v>11</v>
      </c>
      <c r="I66" s="363">
        <v>80</v>
      </c>
      <c r="J66" s="357">
        <f>+I66*G66</f>
        <v>23200</v>
      </c>
      <c r="K66" s="364">
        <v>75.81</v>
      </c>
      <c r="L66" s="364">
        <f>+K66*G66</f>
        <v>21984.9</v>
      </c>
      <c r="M66" s="105"/>
    </row>
    <row r="67" spans="1:13" ht="36" customHeight="1" thickBot="1" x14ac:dyDescent="0.25">
      <c r="A67" s="229"/>
      <c r="B67" s="230"/>
      <c r="C67" s="230"/>
      <c r="D67" s="230"/>
      <c r="E67" s="231"/>
      <c r="F67" s="329"/>
      <c r="G67" s="261">
        <f>+G59+G60+G62+G65</f>
        <v>2835</v>
      </c>
      <c r="H67" s="262" t="s">
        <v>11</v>
      </c>
      <c r="I67" s="258" t="s">
        <v>177</v>
      </c>
      <c r="J67" s="310">
        <f>+J60+J62+J65</f>
        <v>123400</v>
      </c>
      <c r="K67" s="258" t="s">
        <v>177</v>
      </c>
      <c r="L67" s="310">
        <f>+L60+L62+L65</f>
        <v>116002.69999999998</v>
      </c>
      <c r="M67" s="105"/>
    </row>
    <row r="68" spans="1:13" ht="30" customHeight="1" thickBot="1" x14ac:dyDescent="0.3">
      <c r="A68" s="321" t="s">
        <v>106</v>
      </c>
      <c r="B68" s="322" t="s">
        <v>187</v>
      </c>
      <c r="C68" s="323"/>
      <c r="D68" s="323"/>
      <c r="E68" s="22"/>
      <c r="F68" s="82"/>
      <c r="G68" s="80"/>
      <c r="H68" s="80"/>
      <c r="I68" s="80"/>
      <c r="J68" s="80"/>
      <c r="K68" s="218"/>
      <c r="L68" s="218"/>
      <c r="M68" s="105"/>
    </row>
    <row r="69" spans="1:13" ht="30" customHeight="1" thickBot="1" x14ac:dyDescent="0.4">
      <c r="A69" s="28"/>
      <c r="B69" s="21"/>
      <c r="C69" s="21"/>
      <c r="D69" s="2"/>
      <c r="E69" s="2"/>
      <c r="F69" s="131" t="s">
        <v>47</v>
      </c>
      <c r="G69" s="122" t="s">
        <v>8</v>
      </c>
      <c r="H69" s="122" t="s">
        <v>3</v>
      </c>
      <c r="I69" s="270" t="s">
        <v>3</v>
      </c>
      <c r="J69" s="124" t="s">
        <v>4</v>
      </c>
      <c r="K69" s="282" t="s">
        <v>3</v>
      </c>
      <c r="L69" s="283" t="s">
        <v>4</v>
      </c>
      <c r="M69" s="105"/>
    </row>
    <row r="70" spans="1:13" ht="30" customHeight="1" thickTop="1" x14ac:dyDescent="0.25">
      <c r="A70" s="28"/>
      <c r="B70" s="849" t="s">
        <v>48</v>
      </c>
      <c r="C70" s="850"/>
      <c r="D70" s="851"/>
      <c r="E70" s="2"/>
      <c r="F70" s="134" t="s">
        <v>61</v>
      </c>
      <c r="G70" s="139">
        <v>3500</v>
      </c>
      <c r="H70" s="91" t="s">
        <v>9</v>
      </c>
      <c r="I70" s="239">
        <v>2.5</v>
      </c>
      <c r="J70" s="272">
        <f t="shared" ref="J70:J75" si="8">+I70*G70</f>
        <v>8750</v>
      </c>
      <c r="K70" s="275">
        <v>2.0499999999999998</v>
      </c>
      <c r="L70" s="275">
        <f t="shared" ref="L70:L75" si="9">+K70*G70</f>
        <v>7174.9999999999991</v>
      </c>
      <c r="M70" s="105"/>
    </row>
    <row r="71" spans="1:13" ht="30" customHeight="1" thickBot="1" x14ac:dyDescent="0.3">
      <c r="A71" s="28"/>
      <c r="B71" s="846" t="s">
        <v>49</v>
      </c>
      <c r="C71" s="847"/>
      <c r="D71" s="848"/>
      <c r="E71" s="2"/>
      <c r="F71" s="134" t="s">
        <v>62</v>
      </c>
      <c r="G71" s="139">
        <v>7500</v>
      </c>
      <c r="H71" s="91" t="s">
        <v>9</v>
      </c>
      <c r="I71" s="239">
        <v>1.5</v>
      </c>
      <c r="J71" s="272">
        <f t="shared" si="8"/>
        <v>11250</v>
      </c>
      <c r="K71" s="228">
        <v>1.55</v>
      </c>
      <c r="L71" s="228">
        <f t="shared" si="9"/>
        <v>11625</v>
      </c>
      <c r="M71" s="105"/>
    </row>
    <row r="72" spans="1:13" ht="30" customHeight="1" thickTop="1" thickBot="1" x14ac:dyDescent="0.3">
      <c r="A72" s="28"/>
      <c r="B72" s="844"/>
      <c r="C72" s="845"/>
      <c r="D72" s="79"/>
      <c r="E72" s="2"/>
      <c r="F72" s="134" t="s">
        <v>10</v>
      </c>
      <c r="G72" s="139">
        <v>25</v>
      </c>
      <c r="H72" s="91" t="s">
        <v>11</v>
      </c>
      <c r="I72" s="239">
        <v>200</v>
      </c>
      <c r="J72" s="272">
        <f t="shared" si="8"/>
        <v>5000</v>
      </c>
      <c r="K72" s="228">
        <v>190</v>
      </c>
      <c r="L72" s="228">
        <f t="shared" si="9"/>
        <v>4750</v>
      </c>
      <c r="M72" s="105"/>
    </row>
    <row r="73" spans="1:13" ht="30" customHeight="1" thickBot="1" x14ac:dyDescent="0.4">
      <c r="A73" s="28"/>
      <c r="B73" s="75"/>
      <c r="C73" s="75"/>
      <c r="D73" s="137" t="s">
        <v>76</v>
      </c>
      <c r="E73" s="87"/>
      <c r="F73" s="136" t="s">
        <v>12</v>
      </c>
      <c r="G73" s="139">
        <v>75</v>
      </c>
      <c r="H73" s="91" t="s">
        <v>11</v>
      </c>
      <c r="I73" s="239">
        <v>150</v>
      </c>
      <c r="J73" s="272">
        <f t="shared" si="8"/>
        <v>11250</v>
      </c>
      <c r="K73" s="228">
        <v>140</v>
      </c>
      <c r="L73" s="228">
        <f t="shared" si="9"/>
        <v>10500</v>
      </c>
      <c r="M73" s="105"/>
    </row>
    <row r="74" spans="1:13" ht="30" customHeight="1" x14ac:dyDescent="0.25">
      <c r="A74" s="28"/>
      <c r="B74" s="21"/>
      <c r="C74" s="21"/>
      <c r="D74" s="78"/>
      <c r="E74" s="2"/>
      <c r="F74" s="134" t="s">
        <v>13</v>
      </c>
      <c r="G74" s="139">
        <v>150</v>
      </c>
      <c r="H74" s="91" t="s">
        <v>11</v>
      </c>
      <c r="I74" s="239">
        <v>100</v>
      </c>
      <c r="J74" s="272">
        <f t="shared" si="8"/>
        <v>15000</v>
      </c>
      <c r="K74" s="228">
        <v>95</v>
      </c>
      <c r="L74" s="228">
        <f t="shared" si="9"/>
        <v>14250</v>
      </c>
      <c r="M74" s="105"/>
    </row>
    <row r="75" spans="1:13" ht="30" customHeight="1" thickBot="1" x14ac:dyDescent="0.3">
      <c r="A75" s="856" t="s">
        <v>210</v>
      </c>
      <c r="B75" s="855"/>
      <c r="C75" s="855"/>
      <c r="D75" s="855"/>
      <c r="E75" s="855"/>
      <c r="F75" s="135" t="s">
        <v>19</v>
      </c>
      <c r="G75" s="140">
        <v>250</v>
      </c>
      <c r="H75" s="142" t="s">
        <v>11</v>
      </c>
      <c r="I75" s="241">
        <v>80</v>
      </c>
      <c r="J75" s="273">
        <f t="shared" si="8"/>
        <v>20000</v>
      </c>
      <c r="K75" s="257">
        <v>90</v>
      </c>
      <c r="L75" s="257">
        <f t="shared" si="9"/>
        <v>22500</v>
      </c>
      <c r="M75" s="105"/>
    </row>
    <row r="76" spans="1:13" ht="30" customHeight="1" thickBot="1" x14ac:dyDescent="0.3">
      <c r="A76" s="856" t="s">
        <v>211</v>
      </c>
      <c r="B76" s="855"/>
      <c r="C76" s="855"/>
      <c r="D76" s="855"/>
      <c r="E76" s="855"/>
      <c r="F76" s="86"/>
      <c r="G76" s="225"/>
      <c r="H76" s="226"/>
      <c r="I76" s="258" t="s">
        <v>177</v>
      </c>
      <c r="J76" s="258">
        <f>SUM(J70:J75)</f>
        <v>71250</v>
      </c>
      <c r="K76" s="258" t="s">
        <v>177</v>
      </c>
      <c r="L76" s="258">
        <f>SUM(L70:L75)</f>
        <v>70800</v>
      </c>
      <c r="M76" s="105"/>
    </row>
    <row r="77" spans="1:13" ht="9.9499999999999993" customHeight="1" x14ac:dyDescent="0.25">
      <c r="A77" s="81"/>
      <c r="B77" s="82"/>
      <c r="C77" s="82"/>
      <c r="D77" s="82"/>
      <c r="E77" s="83"/>
      <c r="F77" s="82"/>
      <c r="G77" s="80"/>
      <c r="H77" s="80"/>
      <c r="I77" s="80"/>
      <c r="J77" s="80"/>
      <c r="K77" s="218"/>
      <c r="L77" s="218"/>
      <c r="M77" s="105"/>
    </row>
    <row r="78" spans="1:13" ht="9.9499999999999993" customHeight="1" x14ac:dyDescent="0.25">
      <c r="A78" s="34"/>
      <c r="B78" s="44"/>
      <c r="C78" s="44"/>
      <c r="D78" s="44"/>
      <c r="E78" s="56"/>
      <c r="F78" s="44"/>
      <c r="G78" s="57"/>
      <c r="H78" s="47"/>
      <c r="I78" s="47"/>
      <c r="J78" s="44"/>
      <c r="K78" s="221"/>
      <c r="L78" s="221"/>
      <c r="M78" s="105"/>
    </row>
    <row r="79" spans="1:13" ht="35.1" customHeight="1" x14ac:dyDescent="0.5">
      <c r="A79" s="43" t="s">
        <v>54</v>
      </c>
      <c r="B79" s="82"/>
      <c r="C79" s="82"/>
      <c r="D79" s="82"/>
      <c r="E79" s="83"/>
      <c r="F79" s="396" t="s">
        <v>223</v>
      </c>
      <c r="G79" s="80"/>
      <c r="H79" s="80"/>
      <c r="I79" s="80"/>
      <c r="J79" s="80"/>
      <c r="K79" s="218"/>
      <c r="L79" s="218"/>
      <c r="M79" s="105"/>
    </row>
    <row r="80" spans="1:13" ht="9.9499999999999993" customHeight="1" x14ac:dyDescent="0.25">
      <c r="A80" s="34"/>
      <c r="B80" s="44"/>
      <c r="C80" s="44"/>
      <c r="D80" s="44"/>
      <c r="E80" s="56"/>
      <c r="F80" s="44"/>
      <c r="G80" s="57"/>
      <c r="H80" s="47"/>
      <c r="I80" s="47"/>
      <c r="J80" s="44"/>
      <c r="K80" s="221"/>
      <c r="L80" s="221"/>
      <c r="M80" s="105"/>
    </row>
    <row r="81" spans="1:16" ht="35.1" customHeight="1" thickBot="1" x14ac:dyDescent="0.45">
      <c r="A81" s="852" t="s">
        <v>45</v>
      </c>
      <c r="B81" s="852"/>
      <c r="C81" s="852"/>
      <c r="D81" s="853"/>
      <c r="E81" s="853"/>
      <c r="F81" s="853"/>
      <c r="G81" s="853"/>
      <c r="H81" s="853"/>
      <c r="I81" s="55"/>
      <c r="J81" s="55"/>
      <c r="K81" s="220"/>
      <c r="L81" s="220"/>
      <c r="M81" s="105"/>
    </row>
    <row r="82" spans="1:16" ht="24.95" customHeight="1" x14ac:dyDescent="0.4">
      <c r="A82" s="38"/>
      <c r="B82" s="38"/>
      <c r="C82" s="38"/>
      <c r="E82" s="37" t="s">
        <v>24</v>
      </c>
      <c r="I82" s="268" t="s">
        <v>189</v>
      </c>
      <c r="J82" s="286"/>
      <c r="K82" s="268" t="s">
        <v>176</v>
      </c>
      <c r="L82" s="269"/>
      <c r="M82" s="105"/>
    </row>
    <row r="83" spans="1:16" ht="24.95" customHeight="1" thickBot="1" x14ac:dyDescent="0.4">
      <c r="A83" s="37" t="s">
        <v>7</v>
      </c>
      <c r="B83" s="75" t="s">
        <v>0</v>
      </c>
      <c r="C83" s="75" t="s">
        <v>1</v>
      </c>
      <c r="D83" s="75" t="s">
        <v>6</v>
      </c>
      <c r="E83" s="37" t="s">
        <v>25</v>
      </c>
      <c r="F83" s="75" t="s">
        <v>2</v>
      </c>
      <c r="G83" s="37" t="s">
        <v>16</v>
      </c>
      <c r="H83" s="75" t="s">
        <v>8</v>
      </c>
      <c r="I83" s="279" t="s">
        <v>3</v>
      </c>
      <c r="J83" s="280" t="s">
        <v>4</v>
      </c>
      <c r="K83" s="276" t="s">
        <v>3</v>
      </c>
      <c r="L83" s="277" t="s">
        <v>4</v>
      </c>
      <c r="M83" s="105"/>
    </row>
    <row r="84" spans="1:16" ht="30" customHeight="1" x14ac:dyDescent="0.25">
      <c r="A84" s="106" t="s">
        <v>193</v>
      </c>
      <c r="B84" s="95" t="s">
        <v>27</v>
      </c>
      <c r="C84" s="95" t="s">
        <v>81</v>
      </c>
      <c r="D84" s="95" t="s">
        <v>141</v>
      </c>
      <c r="E84" s="96">
        <v>2.5</v>
      </c>
      <c r="F84" s="95" t="s">
        <v>142</v>
      </c>
      <c r="G84" s="97">
        <v>652</v>
      </c>
      <c r="H84" s="97" t="s">
        <v>11</v>
      </c>
      <c r="I84" s="281">
        <v>70</v>
      </c>
      <c r="J84" s="246">
        <f>+I84*G84</f>
        <v>45640</v>
      </c>
      <c r="K84" s="275">
        <v>67.97</v>
      </c>
      <c r="L84" s="275">
        <f>+K84*G84</f>
        <v>44316.44</v>
      </c>
      <c r="M84" s="105"/>
      <c r="O84" s="207"/>
      <c r="P84" s="208"/>
    </row>
    <row r="85" spans="1:16" ht="36" customHeight="1" thickBot="1" x14ac:dyDescent="0.25">
      <c r="A85" s="365" t="s">
        <v>195</v>
      </c>
      <c r="B85" s="350" t="s">
        <v>27</v>
      </c>
      <c r="C85" s="350" t="s">
        <v>28</v>
      </c>
      <c r="D85" s="350" t="s">
        <v>29</v>
      </c>
      <c r="E85" s="351">
        <v>0.25</v>
      </c>
      <c r="F85" s="350" t="s">
        <v>143</v>
      </c>
      <c r="G85" s="352">
        <v>484</v>
      </c>
      <c r="H85" s="352" t="s">
        <v>11</v>
      </c>
      <c r="I85" s="363">
        <v>80</v>
      </c>
      <c r="J85" s="366">
        <f>+I85*G85</f>
        <v>38720</v>
      </c>
      <c r="K85" s="358">
        <v>63.29</v>
      </c>
      <c r="L85" s="358">
        <f>+K85*G85</f>
        <v>30632.36</v>
      </c>
      <c r="M85" s="105"/>
    </row>
    <row r="86" spans="1:16" ht="36" customHeight="1" x14ac:dyDescent="0.2">
      <c r="A86" s="295" t="s">
        <v>192</v>
      </c>
      <c r="B86" s="151" t="s">
        <v>27</v>
      </c>
      <c r="C86" s="151" t="s">
        <v>28</v>
      </c>
      <c r="D86" s="151" t="s">
        <v>227</v>
      </c>
      <c r="E86" s="152">
        <v>0.27</v>
      </c>
      <c r="F86" s="150" t="s">
        <v>26</v>
      </c>
      <c r="G86" s="154">
        <v>450</v>
      </c>
      <c r="H86" s="154" t="s">
        <v>11</v>
      </c>
      <c r="I86" s="243">
        <v>80</v>
      </c>
      <c r="J86" s="240">
        <f>+I86*G86</f>
        <v>36000</v>
      </c>
      <c r="K86" s="228">
        <v>63.29</v>
      </c>
      <c r="L86" s="228">
        <f>+K86*G86</f>
        <v>28480.5</v>
      </c>
      <c r="M86" s="105"/>
    </row>
    <row r="87" spans="1:16" ht="36" customHeight="1" thickBot="1" x14ac:dyDescent="0.25">
      <c r="A87" s="99"/>
      <c r="B87" s="89"/>
      <c r="C87" s="89"/>
      <c r="D87" s="89"/>
      <c r="E87" s="90"/>
      <c r="F87" s="89" t="s">
        <v>145</v>
      </c>
      <c r="G87" s="91"/>
      <c r="H87" s="91"/>
      <c r="I87" s="239"/>
      <c r="J87" s="239"/>
      <c r="K87" s="228"/>
      <c r="L87" s="228"/>
      <c r="M87" s="105"/>
    </row>
    <row r="88" spans="1:16" ht="36" customHeight="1" x14ac:dyDescent="0.2">
      <c r="A88" s="381" t="s">
        <v>224</v>
      </c>
      <c r="B88" s="389" t="s">
        <v>35</v>
      </c>
      <c r="C88" s="389" t="s">
        <v>207</v>
      </c>
      <c r="D88" s="389" t="s">
        <v>208</v>
      </c>
      <c r="E88" s="392">
        <v>0.15</v>
      </c>
      <c r="F88" s="393" t="s">
        <v>26</v>
      </c>
      <c r="G88" s="391">
        <v>216</v>
      </c>
      <c r="H88" s="391" t="s">
        <v>11</v>
      </c>
      <c r="I88" s="376">
        <v>80</v>
      </c>
      <c r="J88" s="376">
        <f>+I88*G88</f>
        <v>17280</v>
      </c>
      <c r="K88" s="386">
        <v>90</v>
      </c>
      <c r="L88" s="386">
        <f>+K88*G88</f>
        <v>19440</v>
      </c>
      <c r="M88" s="105"/>
    </row>
    <row r="89" spans="1:16" ht="39.950000000000003" customHeight="1" thickBot="1" x14ac:dyDescent="0.25">
      <c r="A89" s="292" t="s">
        <v>184</v>
      </c>
      <c r="B89" s="180" t="s">
        <v>35</v>
      </c>
      <c r="C89" s="180" t="s">
        <v>146</v>
      </c>
      <c r="D89" s="180" t="s">
        <v>147</v>
      </c>
      <c r="E89" s="181">
        <v>1.5</v>
      </c>
      <c r="F89" s="180" t="s">
        <v>148</v>
      </c>
      <c r="G89" s="264">
        <v>220</v>
      </c>
      <c r="H89" s="237" t="s">
        <v>11</v>
      </c>
      <c r="I89" s="241">
        <v>80</v>
      </c>
      <c r="J89" s="241">
        <f>+I89*G89</f>
        <v>17600</v>
      </c>
      <c r="K89" s="257">
        <v>84</v>
      </c>
      <c r="L89" s="257">
        <f>+K89*G89</f>
        <v>18480</v>
      </c>
      <c r="M89" s="105"/>
    </row>
    <row r="90" spans="1:16" ht="27.95" customHeight="1" thickBot="1" x14ac:dyDescent="0.3">
      <c r="A90" s="28"/>
      <c r="B90" s="21"/>
      <c r="C90" s="21"/>
      <c r="D90" s="21"/>
      <c r="E90" s="22"/>
      <c r="F90" s="82"/>
      <c r="G90" s="265">
        <f>+G84+G86+G88+G89</f>
        <v>1538</v>
      </c>
      <c r="H90" s="262" t="s">
        <v>11</v>
      </c>
      <c r="I90" s="258" t="s">
        <v>177</v>
      </c>
      <c r="J90" s="258">
        <f>+J84+J86+J88+J89</f>
        <v>116520</v>
      </c>
      <c r="K90" s="258" t="s">
        <v>177</v>
      </c>
      <c r="L90" s="258">
        <f>+L84+L86+L88+L89</f>
        <v>110716.94</v>
      </c>
      <c r="M90" s="105"/>
    </row>
    <row r="91" spans="1:16" ht="27.95" customHeight="1" thickBot="1" x14ac:dyDescent="0.3">
      <c r="A91" s="321" t="s">
        <v>106</v>
      </c>
      <c r="B91" s="322" t="s">
        <v>187</v>
      </c>
      <c r="C91" s="323"/>
      <c r="D91" s="323"/>
      <c r="E91" s="22"/>
      <c r="F91" s="82"/>
      <c r="G91" s="80"/>
      <c r="H91" s="80"/>
      <c r="I91" s="80"/>
      <c r="J91" s="80"/>
      <c r="K91" s="218"/>
      <c r="L91" s="218"/>
      <c r="M91" s="105"/>
    </row>
    <row r="92" spans="1:16" ht="24.95" customHeight="1" thickBot="1" x14ac:dyDescent="0.4">
      <c r="A92" s="28"/>
      <c r="B92" s="21"/>
      <c r="C92" s="21"/>
      <c r="D92" s="2"/>
      <c r="E92" s="2"/>
      <c r="F92" s="131" t="s">
        <v>47</v>
      </c>
      <c r="G92" s="122" t="s">
        <v>8</v>
      </c>
      <c r="H92" s="122" t="s">
        <v>3</v>
      </c>
      <c r="I92" s="270" t="s">
        <v>3</v>
      </c>
      <c r="J92" s="124" t="s">
        <v>4</v>
      </c>
      <c r="K92" s="282" t="s">
        <v>3</v>
      </c>
      <c r="L92" s="283" t="s">
        <v>4</v>
      </c>
      <c r="M92" s="105"/>
    </row>
    <row r="93" spans="1:16" ht="30" customHeight="1" thickTop="1" x14ac:dyDescent="0.25">
      <c r="A93" s="28"/>
      <c r="B93" s="849" t="s">
        <v>48</v>
      </c>
      <c r="C93" s="850"/>
      <c r="D93" s="851"/>
      <c r="E93" s="2"/>
      <c r="F93" s="134" t="s">
        <v>61</v>
      </c>
      <c r="G93" s="139">
        <v>3500</v>
      </c>
      <c r="H93" s="91" t="s">
        <v>9</v>
      </c>
      <c r="I93" s="239">
        <v>2.5</v>
      </c>
      <c r="J93" s="272">
        <f t="shared" ref="J93:J98" si="10">+I93*G93</f>
        <v>8750</v>
      </c>
      <c r="K93" s="275">
        <v>2.0499999999999998</v>
      </c>
      <c r="L93" s="275">
        <f t="shared" ref="L93:L98" si="11">+K93*G93</f>
        <v>7174.9999999999991</v>
      </c>
      <c r="M93" s="105"/>
    </row>
    <row r="94" spans="1:16" ht="30" customHeight="1" thickBot="1" x14ac:dyDescent="0.3">
      <c r="A94" s="28"/>
      <c r="B94" s="846" t="s">
        <v>49</v>
      </c>
      <c r="C94" s="847"/>
      <c r="D94" s="848"/>
      <c r="E94" s="2"/>
      <c r="F94" s="134" t="s">
        <v>62</v>
      </c>
      <c r="G94" s="139">
        <v>7500</v>
      </c>
      <c r="H94" s="91" t="s">
        <v>9</v>
      </c>
      <c r="I94" s="239">
        <v>1.5</v>
      </c>
      <c r="J94" s="272">
        <f t="shared" si="10"/>
        <v>11250</v>
      </c>
      <c r="K94" s="228">
        <v>1.55</v>
      </c>
      <c r="L94" s="228">
        <f t="shared" si="11"/>
        <v>11625</v>
      </c>
      <c r="M94" s="105"/>
    </row>
    <row r="95" spans="1:16" ht="30" customHeight="1" thickTop="1" thickBot="1" x14ac:dyDescent="0.3">
      <c r="A95" s="28"/>
      <c r="B95" s="844"/>
      <c r="C95" s="845"/>
      <c r="D95" s="79"/>
      <c r="E95" s="2"/>
      <c r="F95" s="134" t="s">
        <v>10</v>
      </c>
      <c r="G95" s="139">
        <v>25</v>
      </c>
      <c r="H95" s="91" t="s">
        <v>11</v>
      </c>
      <c r="I95" s="239">
        <v>200</v>
      </c>
      <c r="J95" s="272">
        <f t="shared" si="10"/>
        <v>5000</v>
      </c>
      <c r="K95" s="228">
        <v>190</v>
      </c>
      <c r="L95" s="228">
        <f t="shared" si="11"/>
        <v>4750</v>
      </c>
      <c r="M95" s="105"/>
    </row>
    <row r="96" spans="1:16" ht="30" customHeight="1" thickBot="1" x14ac:dyDescent="0.4">
      <c r="A96" s="28"/>
      <c r="B96" s="75"/>
      <c r="C96" s="75"/>
      <c r="D96" s="137" t="s">
        <v>76</v>
      </c>
      <c r="E96" s="87"/>
      <c r="F96" s="136" t="s">
        <v>12</v>
      </c>
      <c r="G96" s="139">
        <v>75</v>
      </c>
      <c r="H96" s="91" t="s">
        <v>11</v>
      </c>
      <c r="I96" s="239">
        <v>150</v>
      </c>
      <c r="J96" s="272">
        <f t="shared" si="10"/>
        <v>11250</v>
      </c>
      <c r="K96" s="228">
        <v>140</v>
      </c>
      <c r="L96" s="228">
        <f t="shared" si="11"/>
        <v>10500</v>
      </c>
      <c r="M96" s="105"/>
    </row>
    <row r="97" spans="1:19" ht="30" customHeight="1" x14ac:dyDescent="0.25">
      <c r="A97" s="28"/>
      <c r="B97" s="21"/>
      <c r="C97" s="21"/>
      <c r="D97" s="78"/>
      <c r="E97" s="2"/>
      <c r="F97" s="134" t="s">
        <v>13</v>
      </c>
      <c r="G97" s="139">
        <v>150</v>
      </c>
      <c r="H97" s="91" t="s">
        <v>11</v>
      </c>
      <c r="I97" s="239">
        <v>100</v>
      </c>
      <c r="J97" s="272">
        <f t="shared" si="10"/>
        <v>15000</v>
      </c>
      <c r="K97" s="228">
        <v>95</v>
      </c>
      <c r="L97" s="228">
        <f t="shared" si="11"/>
        <v>14250</v>
      </c>
      <c r="M97" s="105"/>
    </row>
    <row r="98" spans="1:19" ht="30" customHeight="1" thickBot="1" x14ac:dyDescent="0.3">
      <c r="A98" s="856" t="s">
        <v>210</v>
      </c>
      <c r="B98" s="855"/>
      <c r="C98" s="855"/>
      <c r="D98" s="855"/>
      <c r="E98" s="855"/>
      <c r="F98" s="135" t="s">
        <v>19</v>
      </c>
      <c r="G98" s="140">
        <v>250</v>
      </c>
      <c r="H98" s="142" t="s">
        <v>11</v>
      </c>
      <c r="I98" s="241">
        <v>80</v>
      </c>
      <c r="J98" s="273">
        <f t="shared" si="10"/>
        <v>20000</v>
      </c>
      <c r="K98" s="257">
        <v>90</v>
      </c>
      <c r="L98" s="257">
        <f t="shared" si="11"/>
        <v>22500</v>
      </c>
      <c r="M98" s="105"/>
    </row>
    <row r="99" spans="1:19" ht="30" customHeight="1" thickBot="1" x14ac:dyDescent="0.3">
      <c r="A99" s="856" t="s">
        <v>211</v>
      </c>
      <c r="B99" s="855"/>
      <c r="C99" s="855"/>
      <c r="D99" s="855"/>
      <c r="E99" s="855"/>
      <c r="F99" s="86"/>
      <c r="G99" s="225"/>
      <c r="H99" s="226"/>
      <c r="I99" s="258" t="s">
        <v>177</v>
      </c>
      <c r="J99" s="258">
        <f>SUM(J93:J98)</f>
        <v>71250</v>
      </c>
      <c r="K99" s="258" t="s">
        <v>177</v>
      </c>
      <c r="L99" s="258">
        <f>SUM(L93:L98)</f>
        <v>70800</v>
      </c>
      <c r="M99" s="105"/>
    </row>
    <row r="100" spans="1:19" ht="9.9499999999999993" customHeight="1" x14ac:dyDescent="0.2">
      <c r="A100" s="24"/>
      <c r="B100" s="61"/>
      <c r="C100" s="61"/>
      <c r="D100" s="61"/>
      <c r="E100" s="62"/>
      <c r="F100" s="27"/>
      <c r="G100" s="15"/>
      <c r="H100" s="64"/>
      <c r="I100" s="64"/>
      <c r="J100" s="64"/>
      <c r="K100" s="218"/>
      <c r="L100" s="218"/>
    </row>
    <row r="101" spans="1:19" ht="9.9499999999999993" customHeight="1" x14ac:dyDescent="0.2">
      <c r="A101" s="48"/>
      <c r="B101" s="71"/>
      <c r="C101" s="71"/>
      <c r="D101" s="71"/>
      <c r="E101" s="72"/>
      <c r="F101" s="73"/>
      <c r="G101" s="74"/>
      <c r="H101" s="54"/>
      <c r="I101" s="54"/>
      <c r="J101" s="54"/>
      <c r="K101" s="219"/>
      <c r="L101" s="219"/>
    </row>
    <row r="102" spans="1:19" ht="35.1" customHeight="1" x14ac:dyDescent="0.5">
      <c r="A102" s="43" t="s">
        <v>54</v>
      </c>
      <c r="B102" s="61"/>
      <c r="C102" s="61"/>
      <c r="D102" s="61"/>
      <c r="E102" s="62"/>
      <c r="F102" s="396" t="s">
        <v>223</v>
      </c>
      <c r="G102" s="15"/>
      <c r="H102" s="64"/>
      <c r="I102" s="64"/>
      <c r="J102" s="64"/>
      <c r="K102" s="218"/>
      <c r="L102" s="218"/>
    </row>
    <row r="103" spans="1:19" ht="9.9499999999999993" customHeight="1" thickBot="1" x14ac:dyDescent="0.55000000000000004">
      <c r="A103" s="70"/>
      <c r="B103" s="71"/>
      <c r="C103" s="71"/>
      <c r="D103" s="71"/>
      <c r="E103" s="72"/>
      <c r="F103" s="73"/>
      <c r="G103" s="74"/>
      <c r="H103" s="54"/>
      <c r="I103" s="54"/>
      <c r="J103" s="54"/>
      <c r="K103" s="219"/>
      <c r="L103" s="219"/>
    </row>
    <row r="104" spans="1:19" ht="24.95" customHeight="1" thickBot="1" x14ac:dyDescent="0.45">
      <c r="A104" s="857" t="s">
        <v>17</v>
      </c>
      <c r="B104" s="857"/>
      <c r="C104" s="857"/>
      <c r="D104" s="69"/>
      <c r="E104" s="37" t="s">
        <v>24</v>
      </c>
      <c r="F104" s="69"/>
      <c r="G104" s="3"/>
      <c r="H104" s="3"/>
      <c r="I104" s="268" t="s">
        <v>189</v>
      </c>
      <c r="J104" s="287"/>
      <c r="K104" s="268" t="s">
        <v>176</v>
      </c>
      <c r="L104" s="269"/>
    </row>
    <row r="105" spans="1:19" ht="24.95" customHeight="1" thickBot="1" x14ac:dyDescent="0.4">
      <c r="A105" s="103" t="s">
        <v>7</v>
      </c>
      <c r="B105" s="104" t="s">
        <v>0</v>
      </c>
      <c r="C105" s="104" t="s">
        <v>1</v>
      </c>
      <c r="D105" s="104" t="s">
        <v>6</v>
      </c>
      <c r="E105" s="103" t="s">
        <v>18</v>
      </c>
      <c r="F105" s="104" t="s">
        <v>2</v>
      </c>
      <c r="G105" s="37" t="s">
        <v>16</v>
      </c>
      <c r="H105" s="75" t="s">
        <v>8</v>
      </c>
      <c r="I105" s="279" t="s">
        <v>3</v>
      </c>
      <c r="J105" s="280" t="s">
        <v>4</v>
      </c>
      <c r="K105" s="276" t="s">
        <v>3</v>
      </c>
      <c r="L105" s="277" t="s">
        <v>4</v>
      </c>
    </row>
    <row r="106" spans="1:19" ht="30" customHeight="1" x14ac:dyDescent="0.25">
      <c r="A106" s="149" t="s">
        <v>63</v>
      </c>
      <c r="B106" s="150" t="s">
        <v>31</v>
      </c>
      <c r="C106" s="151" t="s">
        <v>39</v>
      </c>
      <c r="D106" s="151" t="s">
        <v>55</v>
      </c>
      <c r="E106" s="152">
        <v>2</v>
      </c>
      <c r="F106" s="151" t="s">
        <v>172</v>
      </c>
      <c r="G106" s="153">
        <v>29350</v>
      </c>
      <c r="H106" s="154" t="s">
        <v>21</v>
      </c>
      <c r="I106" s="246">
        <v>1.2</v>
      </c>
      <c r="J106" s="281">
        <f>+I106*G106</f>
        <v>35220</v>
      </c>
      <c r="K106" s="275">
        <v>0.85</v>
      </c>
      <c r="L106" s="275">
        <f>+K106*G106</f>
        <v>24947.5</v>
      </c>
      <c r="O106" s="213"/>
      <c r="P106" s="214"/>
      <c r="Q106" s="215"/>
      <c r="R106" s="216"/>
      <c r="S106" s="216"/>
    </row>
    <row r="107" spans="1:19" ht="24.95" customHeight="1" x14ac:dyDescent="0.2">
      <c r="A107" s="157"/>
      <c r="B107" s="115"/>
      <c r="C107" s="115"/>
      <c r="D107" s="395" t="s">
        <v>228</v>
      </c>
      <c r="E107" s="117"/>
      <c r="F107" s="89" t="s">
        <v>57</v>
      </c>
      <c r="G107" s="138">
        <v>4650</v>
      </c>
      <c r="H107" s="91" t="s">
        <v>11</v>
      </c>
      <c r="I107" s="240">
        <v>65</v>
      </c>
      <c r="J107" s="239">
        <f>+I107*G107</f>
        <v>302250</v>
      </c>
      <c r="K107" s="228">
        <v>59.36</v>
      </c>
      <c r="L107" s="228">
        <f>+K107*G107</f>
        <v>276024</v>
      </c>
      <c r="O107" s="3"/>
      <c r="P107" s="3"/>
      <c r="R107" s="212"/>
      <c r="S107" s="3"/>
    </row>
    <row r="108" spans="1:19" ht="39.950000000000003" customHeight="1" thickBot="1" x14ac:dyDescent="0.25">
      <c r="A108" s="158"/>
      <c r="B108" s="159"/>
      <c r="C108" s="159"/>
      <c r="D108" s="160"/>
      <c r="E108" s="161"/>
      <c r="F108" s="128" t="s">
        <v>204</v>
      </c>
      <c r="G108" s="162"/>
      <c r="H108" s="163"/>
      <c r="I108" s="245"/>
      <c r="J108" s="239"/>
      <c r="K108" s="228"/>
      <c r="L108" s="228"/>
      <c r="O108" s="3"/>
      <c r="P108" s="3"/>
      <c r="R108" s="212"/>
      <c r="S108" s="3"/>
    </row>
    <row r="109" spans="1:19" ht="39.950000000000003" customHeight="1" x14ac:dyDescent="0.2">
      <c r="A109" s="367" t="s">
        <v>169</v>
      </c>
      <c r="B109" s="368" t="s">
        <v>31</v>
      </c>
      <c r="C109" s="353" t="s">
        <v>39</v>
      </c>
      <c r="D109" s="353" t="s">
        <v>55</v>
      </c>
      <c r="E109" s="354">
        <v>2</v>
      </c>
      <c r="F109" s="353" t="s">
        <v>171</v>
      </c>
      <c r="G109" s="369">
        <v>29350</v>
      </c>
      <c r="H109" s="355" t="s">
        <v>21</v>
      </c>
      <c r="I109" s="370">
        <v>8.5</v>
      </c>
      <c r="J109" s="371">
        <f>+I109*G109</f>
        <v>249475</v>
      </c>
      <c r="K109" s="358"/>
      <c r="L109" s="358"/>
      <c r="O109" s="3"/>
      <c r="P109" s="3"/>
      <c r="R109" s="212"/>
      <c r="S109" s="3"/>
    </row>
    <row r="110" spans="1:19" ht="39.950000000000003" customHeight="1" x14ac:dyDescent="0.2">
      <c r="A110" s="157"/>
      <c r="B110" s="115"/>
      <c r="C110" s="115"/>
      <c r="D110" s="116"/>
      <c r="E110" s="117"/>
      <c r="F110" s="348" t="s">
        <v>170</v>
      </c>
      <c r="G110" s="372">
        <v>3100</v>
      </c>
      <c r="H110" s="373" t="s">
        <v>11</v>
      </c>
      <c r="I110" s="366">
        <v>65</v>
      </c>
      <c r="J110" s="371">
        <f>+I110*G110</f>
        <v>201500</v>
      </c>
      <c r="K110" s="371">
        <v>59.36</v>
      </c>
      <c r="L110" s="371">
        <f>+K110*G110</f>
        <v>184016</v>
      </c>
      <c r="O110" s="3"/>
      <c r="P110" s="3"/>
      <c r="R110" s="212"/>
      <c r="S110" s="3"/>
    </row>
    <row r="111" spans="1:19" ht="39.950000000000003" customHeight="1" thickBot="1" x14ac:dyDescent="0.25">
      <c r="A111" s="158"/>
      <c r="B111" s="159"/>
      <c r="C111" s="159"/>
      <c r="D111" s="160"/>
      <c r="E111" s="161"/>
      <c r="F111" s="374" t="s">
        <v>40</v>
      </c>
      <c r="G111" s="162"/>
      <c r="H111" s="163"/>
      <c r="I111" s="375"/>
      <c r="J111" s="376"/>
      <c r="K111" s="376"/>
      <c r="L111" s="376"/>
      <c r="O111" s="3"/>
      <c r="P111" s="3"/>
      <c r="R111" s="212"/>
      <c r="S111" s="3"/>
    </row>
    <row r="112" spans="1:19" ht="39.950000000000003" customHeight="1" x14ac:dyDescent="0.2">
      <c r="A112" s="149" t="s">
        <v>64</v>
      </c>
      <c r="B112" s="150" t="s">
        <v>38</v>
      </c>
      <c r="C112" s="150" t="s">
        <v>39</v>
      </c>
      <c r="D112" s="151" t="s">
        <v>56</v>
      </c>
      <c r="E112" s="152">
        <v>2.5</v>
      </c>
      <c r="F112" s="151" t="s">
        <v>118</v>
      </c>
      <c r="G112" s="153">
        <v>3700</v>
      </c>
      <c r="H112" s="154" t="s">
        <v>11</v>
      </c>
      <c r="I112" s="244">
        <v>65</v>
      </c>
      <c r="J112" s="239">
        <f>+I112*G112</f>
        <v>240500</v>
      </c>
      <c r="K112" s="239">
        <v>59.36</v>
      </c>
      <c r="L112" s="239">
        <f>+K112*G112</f>
        <v>219632</v>
      </c>
      <c r="O112" s="3"/>
      <c r="P112" s="3"/>
      <c r="Q112" s="3"/>
      <c r="R112" s="212"/>
      <c r="S112" s="212"/>
    </row>
    <row r="113" spans="1:19" ht="39.950000000000003" customHeight="1" x14ac:dyDescent="0.2">
      <c r="A113" s="166"/>
      <c r="B113" s="118"/>
      <c r="C113" s="118"/>
      <c r="D113" s="109"/>
      <c r="E113" s="110"/>
      <c r="F113" s="89" t="s">
        <v>130</v>
      </c>
      <c r="G113" s="138">
        <v>2</v>
      </c>
      <c r="H113" s="91" t="s">
        <v>77</v>
      </c>
      <c r="I113" s="240">
        <v>1500</v>
      </c>
      <c r="J113" s="239">
        <f>+I113*G113</f>
        <v>3000</v>
      </c>
      <c r="K113" s="239">
        <v>1740</v>
      </c>
      <c r="L113" s="239">
        <f>+K113*G113</f>
        <v>3480</v>
      </c>
      <c r="O113" s="3"/>
      <c r="P113" s="3"/>
      <c r="R113" s="212"/>
      <c r="S113" s="3"/>
    </row>
    <row r="114" spans="1:19" ht="39.950000000000003" customHeight="1" thickBot="1" x14ac:dyDescent="0.25">
      <c r="A114" s="158"/>
      <c r="B114" s="159"/>
      <c r="C114" s="159"/>
      <c r="D114" s="160"/>
      <c r="E114" s="161"/>
      <c r="F114" s="128" t="s">
        <v>149</v>
      </c>
      <c r="G114" s="162"/>
      <c r="H114" s="163"/>
      <c r="I114" s="245"/>
      <c r="J114" s="239"/>
      <c r="K114" s="239"/>
      <c r="L114" s="239"/>
      <c r="O114" s="3"/>
      <c r="P114" s="3"/>
      <c r="R114" s="212"/>
      <c r="S114" s="3"/>
    </row>
    <row r="115" spans="1:19" ht="30" customHeight="1" x14ac:dyDescent="0.2">
      <c r="A115" s="149" t="s">
        <v>65</v>
      </c>
      <c r="B115" s="150" t="s">
        <v>58</v>
      </c>
      <c r="C115" s="151" t="s">
        <v>59</v>
      </c>
      <c r="D115" s="151" t="s">
        <v>60</v>
      </c>
      <c r="E115" s="152">
        <v>0.4</v>
      </c>
      <c r="F115" s="151" t="s">
        <v>168</v>
      </c>
      <c r="G115" s="153">
        <v>7900</v>
      </c>
      <c r="H115" s="154" t="s">
        <v>21</v>
      </c>
      <c r="I115" s="244">
        <v>2</v>
      </c>
      <c r="J115" s="239">
        <f t="shared" ref="J115:J130" si="12">+I115*G115</f>
        <v>15800</v>
      </c>
      <c r="K115" s="239">
        <v>1.2</v>
      </c>
      <c r="L115" s="239">
        <f t="shared" ref="L115:L129" si="13">+K115*G115</f>
        <v>9480</v>
      </c>
      <c r="O115" s="3"/>
      <c r="P115" s="3"/>
      <c r="R115" s="212"/>
      <c r="S115" s="3"/>
    </row>
    <row r="116" spans="1:19" ht="30" customHeight="1" x14ac:dyDescent="0.2">
      <c r="A116" s="166"/>
      <c r="B116" s="118"/>
      <c r="C116" s="109"/>
      <c r="D116" s="109"/>
      <c r="E116" s="110"/>
      <c r="F116" s="89" t="s">
        <v>119</v>
      </c>
      <c r="G116" s="138">
        <v>2</v>
      </c>
      <c r="H116" s="91" t="s">
        <v>77</v>
      </c>
      <c r="I116" s="240">
        <v>1500</v>
      </c>
      <c r="J116" s="239">
        <f t="shared" si="12"/>
        <v>3000</v>
      </c>
      <c r="K116" s="239">
        <v>1740</v>
      </c>
      <c r="L116" s="239">
        <f t="shared" si="13"/>
        <v>3480</v>
      </c>
      <c r="O116" s="3"/>
      <c r="P116" s="3"/>
      <c r="R116" s="212"/>
      <c r="S116" s="3"/>
    </row>
    <row r="117" spans="1:19" ht="24.95" customHeight="1" thickBot="1" x14ac:dyDescent="0.25">
      <c r="A117" s="167"/>
      <c r="B117" s="168"/>
      <c r="C117" s="168"/>
      <c r="D117" s="169"/>
      <c r="E117" s="170"/>
      <c r="F117" s="128" t="s">
        <v>212</v>
      </c>
      <c r="G117" s="142">
        <v>870</v>
      </c>
      <c r="H117" s="142" t="s">
        <v>11</v>
      </c>
      <c r="I117" s="247">
        <v>70</v>
      </c>
      <c r="J117" s="239">
        <f t="shared" si="12"/>
        <v>60900</v>
      </c>
      <c r="K117" s="239">
        <v>66.31</v>
      </c>
      <c r="L117" s="239">
        <f t="shared" si="13"/>
        <v>57689.700000000004</v>
      </c>
      <c r="O117" s="3"/>
      <c r="P117" s="3"/>
      <c r="R117" s="212"/>
      <c r="S117" s="3"/>
    </row>
    <row r="118" spans="1:19" ht="24.95" customHeight="1" x14ac:dyDescent="0.2">
      <c r="A118" s="149" t="s">
        <v>75</v>
      </c>
      <c r="B118" s="151" t="s">
        <v>33</v>
      </c>
      <c r="C118" s="151" t="s">
        <v>22</v>
      </c>
      <c r="D118" s="151" t="s">
        <v>74</v>
      </c>
      <c r="E118" s="152">
        <v>2</v>
      </c>
      <c r="F118" s="151" t="s">
        <v>131</v>
      </c>
      <c r="G118" s="153">
        <v>2200</v>
      </c>
      <c r="H118" s="154" t="s">
        <v>11</v>
      </c>
      <c r="I118" s="244">
        <v>65</v>
      </c>
      <c r="J118" s="239">
        <f t="shared" si="12"/>
        <v>143000</v>
      </c>
      <c r="K118" s="239">
        <v>62.9</v>
      </c>
      <c r="L118" s="239">
        <f t="shared" si="13"/>
        <v>138380</v>
      </c>
      <c r="O118" s="3"/>
      <c r="P118" s="3"/>
      <c r="R118" s="212"/>
      <c r="S118" s="3"/>
    </row>
    <row r="119" spans="1:19" ht="24.95" customHeight="1" thickBot="1" x14ac:dyDescent="0.25">
      <c r="A119" s="172"/>
      <c r="B119" s="173"/>
      <c r="C119" s="173"/>
      <c r="D119" s="173"/>
      <c r="E119" s="174"/>
      <c r="F119" s="128" t="s">
        <v>130</v>
      </c>
      <c r="G119" s="175">
        <v>2</v>
      </c>
      <c r="H119" s="142" t="s">
        <v>77</v>
      </c>
      <c r="I119" s="247">
        <v>1500</v>
      </c>
      <c r="J119" s="239">
        <f t="shared" si="12"/>
        <v>3000</v>
      </c>
      <c r="K119" s="239">
        <v>1740</v>
      </c>
      <c r="L119" s="239">
        <f t="shared" si="13"/>
        <v>3480</v>
      </c>
      <c r="O119" s="3"/>
      <c r="P119" s="3"/>
      <c r="R119" s="212"/>
      <c r="S119" s="3"/>
    </row>
    <row r="120" spans="1:19" ht="24.95" customHeight="1" x14ac:dyDescent="0.2">
      <c r="A120" s="149" t="s">
        <v>120</v>
      </c>
      <c r="B120" s="151" t="s">
        <v>31</v>
      </c>
      <c r="C120" s="151" t="s">
        <v>121</v>
      </c>
      <c r="D120" s="151" t="s">
        <v>123</v>
      </c>
      <c r="E120" s="152">
        <v>0.79500000000000004</v>
      </c>
      <c r="F120" s="151" t="s">
        <v>168</v>
      </c>
      <c r="G120" s="153">
        <v>5600</v>
      </c>
      <c r="H120" s="154" t="s">
        <v>21</v>
      </c>
      <c r="I120" s="244">
        <v>2</v>
      </c>
      <c r="J120" s="239">
        <f t="shared" si="12"/>
        <v>11200</v>
      </c>
      <c r="K120" s="239">
        <v>1.24</v>
      </c>
      <c r="L120" s="239">
        <f t="shared" si="13"/>
        <v>6944</v>
      </c>
      <c r="O120" s="3"/>
      <c r="P120" s="3"/>
      <c r="R120" s="212"/>
      <c r="S120" s="3"/>
    </row>
    <row r="121" spans="1:19" ht="24.95" customHeight="1" thickBot="1" x14ac:dyDescent="0.25">
      <c r="A121" s="172"/>
      <c r="B121" s="173"/>
      <c r="C121" s="173"/>
      <c r="D121" s="173"/>
      <c r="E121" s="174"/>
      <c r="F121" s="128" t="s">
        <v>122</v>
      </c>
      <c r="G121" s="175">
        <v>476</v>
      </c>
      <c r="H121" s="178" t="s">
        <v>11</v>
      </c>
      <c r="I121" s="247">
        <v>80</v>
      </c>
      <c r="J121" s="239">
        <f t="shared" si="12"/>
        <v>38080</v>
      </c>
      <c r="K121" s="239">
        <v>72.75</v>
      </c>
      <c r="L121" s="239">
        <f t="shared" si="13"/>
        <v>34629</v>
      </c>
      <c r="O121" s="3"/>
      <c r="P121" s="3"/>
      <c r="Q121" s="3"/>
      <c r="R121" s="212"/>
      <c r="S121" s="212"/>
    </row>
    <row r="122" spans="1:19" ht="24.95" customHeight="1" x14ac:dyDescent="0.2">
      <c r="A122" s="149" t="s">
        <v>124</v>
      </c>
      <c r="B122" s="151" t="s">
        <v>125</v>
      </c>
      <c r="C122" s="151" t="s">
        <v>126</v>
      </c>
      <c r="D122" s="151" t="s">
        <v>127</v>
      </c>
      <c r="E122" s="152">
        <v>0.95</v>
      </c>
      <c r="F122" s="151" t="s">
        <v>168</v>
      </c>
      <c r="G122" s="153">
        <v>6667</v>
      </c>
      <c r="H122" s="154" t="s">
        <v>21</v>
      </c>
      <c r="I122" s="244">
        <v>2</v>
      </c>
      <c r="J122" s="239">
        <f t="shared" si="12"/>
        <v>13334</v>
      </c>
      <c r="K122" s="239">
        <v>1.27</v>
      </c>
      <c r="L122" s="239">
        <f t="shared" si="13"/>
        <v>8467.09</v>
      </c>
      <c r="O122" s="3"/>
      <c r="P122" s="3"/>
      <c r="R122" s="212"/>
      <c r="S122" s="3"/>
    </row>
    <row r="123" spans="1:19" ht="24.95" customHeight="1" thickBot="1" x14ac:dyDescent="0.25">
      <c r="A123" s="172"/>
      <c r="B123" s="173"/>
      <c r="C123" s="173"/>
      <c r="D123" s="173"/>
      <c r="E123" s="174"/>
      <c r="F123" s="128" t="s">
        <v>122</v>
      </c>
      <c r="G123" s="175">
        <v>566</v>
      </c>
      <c r="H123" s="142" t="s">
        <v>11</v>
      </c>
      <c r="I123" s="247">
        <v>70</v>
      </c>
      <c r="J123" s="239">
        <f t="shared" si="12"/>
        <v>39620</v>
      </c>
      <c r="K123" s="239">
        <v>71.75</v>
      </c>
      <c r="L123" s="239">
        <f t="shared" si="13"/>
        <v>40610.5</v>
      </c>
      <c r="O123" s="3"/>
      <c r="P123" s="3"/>
      <c r="Q123" s="3"/>
      <c r="R123" s="212"/>
      <c r="S123" s="212"/>
    </row>
    <row r="124" spans="1:19" ht="30" customHeight="1" x14ac:dyDescent="0.2">
      <c r="A124" s="179" t="s">
        <v>50</v>
      </c>
      <c r="B124" s="180" t="s">
        <v>33</v>
      </c>
      <c r="C124" s="180" t="s">
        <v>22</v>
      </c>
      <c r="D124" s="180" t="s">
        <v>71</v>
      </c>
      <c r="E124" s="181">
        <v>1</v>
      </c>
      <c r="F124" s="180" t="s">
        <v>72</v>
      </c>
      <c r="G124" s="182">
        <v>600</v>
      </c>
      <c r="H124" s="182" t="s">
        <v>11</v>
      </c>
      <c r="I124" s="246">
        <v>70</v>
      </c>
      <c r="J124" s="239">
        <f t="shared" si="12"/>
        <v>42000</v>
      </c>
      <c r="K124" s="239">
        <v>69.069999999999993</v>
      </c>
      <c r="L124" s="239">
        <f t="shared" si="13"/>
        <v>41441.999999999993</v>
      </c>
      <c r="O124" s="3"/>
      <c r="P124" s="3"/>
      <c r="R124" s="212"/>
      <c r="S124" s="3"/>
    </row>
    <row r="125" spans="1:19" ht="30" customHeight="1" x14ac:dyDescent="0.2">
      <c r="A125" s="107" t="s">
        <v>78</v>
      </c>
      <c r="B125" s="95" t="s">
        <v>5</v>
      </c>
      <c r="C125" s="95" t="s">
        <v>67</v>
      </c>
      <c r="D125" s="95" t="s">
        <v>68</v>
      </c>
      <c r="E125" s="96">
        <v>0.12</v>
      </c>
      <c r="F125" s="95" t="s">
        <v>73</v>
      </c>
      <c r="G125" s="97">
        <v>140</v>
      </c>
      <c r="H125" s="97" t="s">
        <v>11</v>
      </c>
      <c r="I125" s="240">
        <v>100</v>
      </c>
      <c r="J125" s="239">
        <f t="shared" si="12"/>
        <v>14000</v>
      </c>
      <c r="K125" s="239">
        <v>90</v>
      </c>
      <c r="L125" s="239">
        <f t="shared" si="13"/>
        <v>12600</v>
      </c>
      <c r="O125" s="3"/>
      <c r="P125" s="3"/>
      <c r="R125" s="212"/>
      <c r="S125" s="3"/>
    </row>
    <row r="126" spans="1:19" ht="30" customHeight="1" x14ac:dyDescent="0.2">
      <c r="A126" s="107" t="s">
        <v>128</v>
      </c>
      <c r="B126" s="95" t="s">
        <v>15</v>
      </c>
      <c r="C126" s="95" t="s">
        <v>69</v>
      </c>
      <c r="D126" s="95" t="s">
        <v>70</v>
      </c>
      <c r="E126" s="96">
        <v>0.48</v>
      </c>
      <c r="F126" s="95" t="s">
        <v>46</v>
      </c>
      <c r="G126" s="97">
        <v>120</v>
      </c>
      <c r="H126" s="97" t="s">
        <v>11</v>
      </c>
      <c r="I126" s="240">
        <v>100</v>
      </c>
      <c r="J126" s="239">
        <f t="shared" si="12"/>
        <v>12000</v>
      </c>
      <c r="K126" s="239">
        <v>93</v>
      </c>
      <c r="L126" s="239">
        <f t="shared" si="13"/>
        <v>11160</v>
      </c>
      <c r="O126" s="3"/>
      <c r="P126" s="3"/>
      <c r="R126" s="212"/>
      <c r="S126" s="3"/>
    </row>
    <row r="127" spans="1:19" ht="30" customHeight="1" x14ac:dyDescent="0.2">
      <c r="A127" s="107" t="s">
        <v>129</v>
      </c>
      <c r="B127" s="95" t="s">
        <v>14</v>
      </c>
      <c r="C127" s="95" t="s">
        <v>79</v>
      </c>
      <c r="D127" s="95" t="s">
        <v>80</v>
      </c>
      <c r="E127" s="96">
        <v>1.25</v>
      </c>
      <c r="F127" s="95" t="s">
        <v>46</v>
      </c>
      <c r="G127" s="97">
        <v>300</v>
      </c>
      <c r="H127" s="97" t="s">
        <v>11</v>
      </c>
      <c r="I127" s="240">
        <v>80</v>
      </c>
      <c r="J127" s="239">
        <f t="shared" si="12"/>
        <v>24000</v>
      </c>
      <c r="K127" s="239">
        <v>84</v>
      </c>
      <c r="L127" s="239">
        <f t="shared" si="13"/>
        <v>25200</v>
      </c>
      <c r="O127" s="3"/>
      <c r="P127" s="3"/>
      <c r="R127" s="212"/>
      <c r="S127" s="3"/>
    </row>
    <row r="128" spans="1:19" ht="30" customHeight="1" x14ac:dyDescent="0.2">
      <c r="A128" s="315" t="s">
        <v>52</v>
      </c>
      <c r="B128" s="316" t="s">
        <v>14</v>
      </c>
      <c r="C128" s="316" t="s">
        <v>151</v>
      </c>
      <c r="D128" s="316" t="s">
        <v>152</v>
      </c>
      <c r="E128" s="317">
        <v>0.5</v>
      </c>
      <c r="F128" s="316" t="s">
        <v>46</v>
      </c>
      <c r="G128" s="237">
        <v>130</v>
      </c>
      <c r="H128" s="237" t="s">
        <v>11</v>
      </c>
      <c r="I128" s="242">
        <v>100</v>
      </c>
      <c r="J128" s="241">
        <f t="shared" si="12"/>
        <v>13000</v>
      </c>
      <c r="K128" s="241">
        <v>93</v>
      </c>
      <c r="L128" s="241">
        <f t="shared" si="13"/>
        <v>12090</v>
      </c>
      <c r="O128" s="3"/>
      <c r="P128" s="3"/>
      <c r="R128" s="212"/>
      <c r="S128" s="3"/>
    </row>
    <row r="129" spans="1:19" ht="30" customHeight="1" thickBot="1" x14ac:dyDescent="0.25">
      <c r="A129" s="294" t="s">
        <v>205</v>
      </c>
      <c r="B129" s="325" t="s">
        <v>196</v>
      </c>
      <c r="C129" s="325" t="s">
        <v>197</v>
      </c>
      <c r="D129" s="325" t="s">
        <v>198</v>
      </c>
      <c r="E129" s="326">
        <v>7.3</v>
      </c>
      <c r="F129" s="325" t="s">
        <v>199</v>
      </c>
      <c r="G129" s="327">
        <v>235</v>
      </c>
      <c r="H129" s="327" t="s">
        <v>11</v>
      </c>
      <c r="I129" s="328">
        <v>80</v>
      </c>
      <c r="J129" s="328">
        <f t="shared" si="12"/>
        <v>18800</v>
      </c>
      <c r="K129" s="328">
        <v>90</v>
      </c>
      <c r="L129" s="328">
        <f t="shared" si="13"/>
        <v>21150</v>
      </c>
      <c r="O129" s="3"/>
      <c r="P129" s="3"/>
      <c r="R129" s="212"/>
      <c r="S129" s="3"/>
    </row>
    <row r="130" spans="1:19" ht="30" customHeight="1" thickBot="1" x14ac:dyDescent="0.25">
      <c r="A130" s="332" t="s">
        <v>203</v>
      </c>
      <c r="B130" s="333" t="s">
        <v>5</v>
      </c>
      <c r="C130" s="333" t="s">
        <v>200</v>
      </c>
      <c r="D130" s="333" t="s">
        <v>201</v>
      </c>
      <c r="E130" s="334">
        <v>0.12</v>
      </c>
      <c r="F130" s="151" t="s">
        <v>213</v>
      </c>
      <c r="G130" s="335">
        <v>126</v>
      </c>
      <c r="H130" s="335" t="s">
        <v>11</v>
      </c>
      <c r="I130" s="336">
        <v>100</v>
      </c>
      <c r="J130" s="337">
        <f t="shared" si="12"/>
        <v>12600</v>
      </c>
      <c r="K130" s="338">
        <v>95</v>
      </c>
      <c r="L130" s="338">
        <f>+K130*G130</f>
        <v>11970</v>
      </c>
      <c r="O130" s="3"/>
      <c r="P130" s="3"/>
      <c r="R130" s="212"/>
      <c r="S130" s="3"/>
    </row>
    <row r="131" spans="1:19" ht="30" customHeight="1" thickBot="1" x14ac:dyDescent="0.3">
      <c r="A131" s="81"/>
      <c r="B131" s="82"/>
      <c r="C131" s="82"/>
      <c r="D131" s="82"/>
      <c r="E131" s="83"/>
      <c r="F131" s="84"/>
      <c r="G131" s="309">
        <f>+G107+G112+G117+G118+G121+G123+G124+G125+G126+G127+G128+G129+G130</f>
        <v>14113</v>
      </c>
      <c r="H131" s="262" t="s">
        <v>11</v>
      </c>
      <c r="I131" s="310" t="s">
        <v>177</v>
      </c>
      <c r="J131" s="310">
        <f>J106+J107+SUM(J112:J130)</f>
        <v>1045304</v>
      </c>
      <c r="K131" s="310" t="s">
        <v>177</v>
      </c>
      <c r="L131" s="310">
        <f>L106+L107+SUM(L112:L130)</f>
        <v>962855.79</v>
      </c>
      <c r="O131" s="217"/>
      <c r="P131" s="3"/>
      <c r="Q131" s="3"/>
      <c r="R131" s="212"/>
      <c r="S131" s="212"/>
    </row>
    <row r="132" spans="1:19" ht="30" customHeight="1" thickBot="1" x14ac:dyDescent="0.35">
      <c r="A132" s="81"/>
      <c r="B132" s="82"/>
      <c r="C132" s="82"/>
      <c r="D132" s="82"/>
      <c r="E132" s="83"/>
      <c r="F132" s="84"/>
      <c r="G132" s="311"/>
      <c r="H132" s="80"/>
      <c r="I132" s="80"/>
      <c r="J132" s="80"/>
      <c r="K132" s="223"/>
      <c r="L132" s="223"/>
      <c r="O132" s="217"/>
      <c r="P132" s="3"/>
      <c r="Q132" s="3"/>
      <c r="R132" s="212"/>
      <c r="S132" s="212"/>
    </row>
    <row r="133" spans="1:19" ht="24.95" customHeight="1" thickBot="1" x14ac:dyDescent="0.4">
      <c r="A133" s="6"/>
      <c r="B133" s="36"/>
      <c r="C133" s="36"/>
      <c r="D133" s="36"/>
      <c r="E133" s="21"/>
      <c r="F133" s="320" t="s">
        <v>47</v>
      </c>
      <c r="G133" s="319" t="s">
        <v>8</v>
      </c>
      <c r="H133" s="319" t="s">
        <v>8</v>
      </c>
      <c r="I133" s="319" t="s">
        <v>3</v>
      </c>
      <c r="J133" s="319" t="s">
        <v>4</v>
      </c>
      <c r="K133" s="318" t="s">
        <v>3</v>
      </c>
      <c r="L133" s="312" t="s">
        <v>4</v>
      </c>
      <c r="R133" s="11"/>
    </row>
    <row r="134" spans="1:19" ht="30" customHeight="1" x14ac:dyDescent="0.25">
      <c r="A134" s="29"/>
      <c r="B134" s="21"/>
      <c r="C134" s="21"/>
      <c r="D134" s="21"/>
      <c r="E134" s="21"/>
      <c r="F134" s="134" t="s">
        <v>61</v>
      </c>
      <c r="G134" s="139">
        <v>3500</v>
      </c>
      <c r="H134" s="91" t="s">
        <v>9</v>
      </c>
      <c r="I134" s="239">
        <v>2.5</v>
      </c>
      <c r="J134" s="272">
        <f t="shared" ref="J134:J139" si="14">+I134*G134</f>
        <v>8750</v>
      </c>
      <c r="K134" s="281">
        <v>2.0499999999999998</v>
      </c>
      <c r="L134" s="281">
        <f t="shared" ref="L134:L139" si="15">+K134*G134</f>
        <v>7174.9999999999991</v>
      </c>
      <c r="R134" s="11"/>
    </row>
    <row r="135" spans="1:19" ht="30" customHeight="1" x14ac:dyDescent="0.25">
      <c r="A135" s="29"/>
      <c r="B135" s="21"/>
      <c r="C135" s="21"/>
      <c r="D135" s="21"/>
      <c r="E135" s="21"/>
      <c r="F135" s="134" t="s">
        <v>62</v>
      </c>
      <c r="G135" s="139">
        <v>7500</v>
      </c>
      <c r="H135" s="91" t="s">
        <v>9</v>
      </c>
      <c r="I135" s="239">
        <v>1.5</v>
      </c>
      <c r="J135" s="272">
        <f t="shared" si="14"/>
        <v>11250</v>
      </c>
      <c r="K135" s="239">
        <v>1.55</v>
      </c>
      <c r="L135" s="239">
        <f t="shared" si="15"/>
        <v>11625</v>
      </c>
      <c r="R135" s="11"/>
    </row>
    <row r="136" spans="1:19" ht="30" customHeight="1" thickBot="1" x14ac:dyDescent="0.3">
      <c r="A136" s="29"/>
      <c r="B136" s="21"/>
      <c r="C136" s="21"/>
      <c r="D136" s="21"/>
      <c r="E136" s="21"/>
      <c r="F136" s="134" t="s">
        <v>10</v>
      </c>
      <c r="G136" s="139">
        <v>25</v>
      </c>
      <c r="H136" s="91" t="s">
        <v>11</v>
      </c>
      <c r="I136" s="239">
        <v>200</v>
      </c>
      <c r="J136" s="272">
        <f t="shared" si="14"/>
        <v>5000</v>
      </c>
      <c r="K136" s="239">
        <v>190</v>
      </c>
      <c r="L136" s="239">
        <f t="shared" si="15"/>
        <v>4750</v>
      </c>
      <c r="R136" s="11"/>
    </row>
    <row r="137" spans="1:19" ht="30" customHeight="1" thickBot="1" x14ac:dyDescent="0.4">
      <c r="A137" s="29"/>
      <c r="B137" s="119"/>
      <c r="C137" s="75"/>
      <c r="D137" s="137" t="s">
        <v>76</v>
      </c>
      <c r="E137" s="87"/>
      <c r="F137" s="136" t="s">
        <v>12</v>
      </c>
      <c r="G137" s="139">
        <v>75</v>
      </c>
      <c r="H137" s="91" t="s">
        <v>11</v>
      </c>
      <c r="I137" s="239">
        <v>150</v>
      </c>
      <c r="J137" s="272">
        <f t="shared" si="14"/>
        <v>11250</v>
      </c>
      <c r="K137" s="239">
        <v>140</v>
      </c>
      <c r="L137" s="239">
        <f t="shared" si="15"/>
        <v>10500</v>
      </c>
      <c r="R137" s="11"/>
    </row>
    <row r="138" spans="1:19" ht="30" customHeight="1" x14ac:dyDescent="0.25">
      <c r="A138" s="858" t="s">
        <v>209</v>
      </c>
      <c r="B138" s="859"/>
      <c r="C138" s="859"/>
      <c r="D138" s="859"/>
      <c r="E138" s="859"/>
      <c r="F138" s="134" t="s">
        <v>13</v>
      </c>
      <c r="G138" s="139">
        <v>150</v>
      </c>
      <c r="H138" s="91" t="s">
        <v>11</v>
      </c>
      <c r="I138" s="239">
        <v>100</v>
      </c>
      <c r="J138" s="272">
        <f t="shared" si="14"/>
        <v>15000</v>
      </c>
      <c r="K138" s="239">
        <v>95</v>
      </c>
      <c r="L138" s="239">
        <f t="shared" si="15"/>
        <v>14250</v>
      </c>
      <c r="R138" s="11"/>
    </row>
    <row r="139" spans="1:19" ht="30" customHeight="1" thickBot="1" x14ac:dyDescent="0.3">
      <c r="A139" s="856" t="s">
        <v>210</v>
      </c>
      <c r="B139" s="855"/>
      <c r="C139" s="855"/>
      <c r="D139" s="855"/>
      <c r="E139" s="855"/>
      <c r="F139" s="135" t="s">
        <v>19</v>
      </c>
      <c r="G139" s="140">
        <v>250</v>
      </c>
      <c r="H139" s="142" t="s">
        <v>11</v>
      </c>
      <c r="I139" s="241">
        <v>80</v>
      </c>
      <c r="J139" s="273">
        <f t="shared" si="14"/>
        <v>20000</v>
      </c>
      <c r="K139" s="241">
        <v>90</v>
      </c>
      <c r="L139" s="241">
        <f t="shared" si="15"/>
        <v>22500</v>
      </c>
      <c r="R139" s="11"/>
    </row>
    <row r="140" spans="1:19" ht="30" customHeight="1" thickBot="1" x14ac:dyDescent="0.3">
      <c r="A140" s="856" t="s">
        <v>211</v>
      </c>
      <c r="B140" s="855"/>
      <c r="C140" s="855"/>
      <c r="D140" s="855"/>
      <c r="E140" s="855"/>
      <c r="F140" s="86"/>
      <c r="G140" s="225"/>
      <c r="H140" s="226"/>
      <c r="I140" s="310" t="s">
        <v>177</v>
      </c>
      <c r="J140" s="310">
        <f>SUM(J134:J139)</f>
        <v>71250</v>
      </c>
      <c r="K140" s="310" t="s">
        <v>177</v>
      </c>
      <c r="L140" s="310">
        <f>SUM(L134:L139)</f>
        <v>70800</v>
      </c>
      <c r="R140" s="11"/>
    </row>
    <row r="141" spans="1:19" x14ac:dyDescent="0.2">
      <c r="A141" s="14"/>
      <c r="B141" s="85"/>
      <c r="C141" s="85"/>
      <c r="D141" s="85"/>
      <c r="E141" s="85"/>
      <c r="F141" s="85"/>
      <c r="G141" s="85"/>
      <c r="H141" s="85"/>
      <c r="I141" s="85"/>
      <c r="J141" s="85"/>
      <c r="K141" s="224"/>
      <c r="L141" s="224"/>
      <c r="R141" s="11"/>
    </row>
    <row r="142" spans="1:19" ht="9.9499999999999993" customHeight="1" x14ac:dyDescent="0.2">
      <c r="A142" s="48"/>
      <c r="B142" s="71"/>
      <c r="C142" s="71"/>
      <c r="D142" s="71"/>
      <c r="E142" s="72"/>
      <c r="F142" s="73"/>
      <c r="G142" s="74"/>
      <c r="H142" s="54"/>
      <c r="I142" s="54"/>
      <c r="J142" s="54"/>
      <c r="K142" s="219"/>
      <c r="L142" s="219"/>
      <c r="M142" s="48"/>
    </row>
    <row r="143" spans="1:19" ht="30" customHeight="1" thickBot="1" x14ac:dyDescent="0.25">
      <c r="F143" s="396" t="s">
        <v>223</v>
      </c>
      <c r="K143" s="224"/>
      <c r="L143" s="224"/>
    </row>
    <row r="144" spans="1:19" ht="30" customHeight="1" thickBot="1" x14ac:dyDescent="0.25">
      <c r="B144" s="4"/>
      <c r="C144" s="4"/>
      <c r="D144" s="298" t="s">
        <v>190</v>
      </c>
      <c r="E144" s="297"/>
      <c r="I144" s="288" t="s">
        <v>189</v>
      </c>
      <c r="J144" s="289"/>
      <c r="K144" s="288" t="s">
        <v>176</v>
      </c>
      <c r="L144" s="290"/>
      <c r="M144" s="77"/>
    </row>
    <row r="145" spans="1:13" ht="30" customHeight="1" x14ac:dyDescent="0.4">
      <c r="B145" s="235"/>
      <c r="C145" s="235"/>
      <c r="F145" s="233" t="s">
        <v>42</v>
      </c>
      <c r="I145" s="299"/>
      <c r="J145" s="300">
        <f>+J19</f>
        <v>298565</v>
      </c>
      <c r="K145" s="301"/>
      <c r="L145" s="300">
        <f>+L19</f>
        <v>270851.95</v>
      </c>
      <c r="M145" s="302"/>
    </row>
    <row r="146" spans="1:13" ht="30" customHeight="1" x14ac:dyDescent="0.4">
      <c r="B146" s="235"/>
      <c r="C146" s="235"/>
      <c r="F146" s="233" t="s">
        <v>43</v>
      </c>
      <c r="I146" s="299"/>
      <c r="J146" s="300">
        <f>+J42</f>
        <v>103200</v>
      </c>
      <c r="K146" s="301"/>
      <c r="L146" s="300">
        <f>+L42</f>
        <v>95294.92</v>
      </c>
      <c r="M146" s="302"/>
    </row>
    <row r="147" spans="1:13" ht="30" customHeight="1" x14ac:dyDescent="0.4">
      <c r="B147" s="235"/>
      <c r="C147" s="235"/>
      <c r="F147" s="233" t="s">
        <v>44</v>
      </c>
      <c r="I147" s="299"/>
      <c r="J147" s="300">
        <f>+J67</f>
        <v>123400</v>
      </c>
      <c r="K147" s="301"/>
      <c r="L147" s="300">
        <f>+L67</f>
        <v>116002.69999999998</v>
      </c>
      <c r="M147" s="302"/>
    </row>
    <row r="148" spans="1:13" ht="30" customHeight="1" x14ac:dyDescent="0.4">
      <c r="B148" s="235"/>
      <c r="C148" s="235"/>
      <c r="F148" s="233" t="s">
        <v>45</v>
      </c>
      <c r="I148" s="299"/>
      <c r="J148" s="300">
        <f>+J90</f>
        <v>116520</v>
      </c>
      <c r="K148" s="301"/>
      <c r="L148" s="300">
        <f>+L90</f>
        <v>110716.94</v>
      </c>
      <c r="M148" s="302"/>
    </row>
    <row r="149" spans="1:13" ht="30" customHeight="1" thickBot="1" x14ac:dyDescent="0.45">
      <c r="E149" s="234"/>
      <c r="F149" s="232" t="s">
        <v>17</v>
      </c>
      <c r="G149" s="211"/>
      <c r="H149" s="234"/>
      <c r="I149" s="125"/>
      <c r="J149" s="300">
        <f>+J131</f>
        <v>1045304</v>
      </c>
      <c r="K149" s="301"/>
      <c r="L149" s="300">
        <f>+L131</f>
        <v>962855.79</v>
      </c>
      <c r="M149" s="303" t="s">
        <v>179</v>
      </c>
    </row>
    <row r="150" spans="1:13" ht="30" customHeight="1" thickBot="1" x14ac:dyDescent="0.45">
      <c r="F150" s="235"/>
      <c r="G150" s="235"/>
      <c r="H150" s="235"/>
      <c r="I150" s="304" t="s">
        <v>178</v>
      </c>
      <c r="J150" s="305">
        <f>SUM(J145:J149)</f>
        <v>1686989</v>
      </c>
      <c r="K150" s="377" t="s">
        <v>178</v>
      </c>
      <c r="L150" s="378">
        <f>SUM(L145:L149)</f>
        <v>1555722.3</v>
      </c>
      <c r="M150" s="306">
        <v>3.66</v>
      </c>
    </row>
    <row r="151" spans="1:13" ht="30" customHeight="1" thickBot="1" x14ac:dyDescent="0.3">
      <c r="I151" s="7"/>
      <c r="J151" s="7"/>
      <c r="K151" s="223"/>
      <c r="L151" s="223"/>
      <c r="M151" s="307">
        <v>3.79</v>
      </c>
    </row>
    <row r="152" spans="1:13" ht="9.9499999999999993" customHeight="1" x14ac:dyDescent="0.2">
      <c r="A152" s="48"/>
      <c r="B152" s="71"/>
      <c r="C152" s="71"/>
      <c r="D152" s="71"/>
      <c r="E152" s="72"/>
      <c r="F152" s="73"/>
      <c r="G152" s="74"/>
      <c r="H152" s="54"/>
      <c r="I152" s="54"/>
      <c r="J152" s="54"/>
      <c r="K152" s="219"/>
      <c r="L152" s="219"/>
      <c r="M152" s="48"/>
    </row>
    <row r="153" spans="1:13" ht="30" customHeight="1" x14ac:dyDescent="0.2">
      <c r="K153" s="224"/>
      <c r="L153" s="224"/>
      <c r="M153" s="296"/>
    </row>
    <row r="154" spans="1:13" ht="30" customHeight="1" x14ac:dyDescent="0.35">
      <c r="C154" s="75" t="s">
        <v>217</v>
      </c>
      <c r="D154" s="75"/>
      <c r="K154" s="224"/>
      <c r="L154" s="224"/>
      <c r="M154" s="296"/>
    </row>
    <row r="155" spans="1:13" ht="30" customHeight="1" x14ac:dyDescent="0.35">
      <c r="C155" s="380">
        <v>43532</v>
      </c>
      <c r="D155" s="75"/>
      <c r="K155" s="224"/>
      <c r="L155" s="224"/>
      <c r="M155" s="296"/>
    </row>
    <row r="156" spans="1:13" ht="30" customHeight="1" x14ac:dyDescent="0.25">
      <c r="C156" s="380">
        <v>43577</v>
      </c>
      <c r="K156" s="224"/>
      <c r="L156" s="224"/>
      <c r="M156" s="296"/>
    </row>
    <row r="157" spans="1:13" ht="30" customHeight="1" x14ac:dyDescent="0.25">
      <c r="C157" s="380">
        <v>43580</v>
      </c>
      <c r="K157" s="224"/>
      <c r="L157" s="224"/>
      <c r="M157" s="296"/>
    </row>
    <row r="158" spans="1:13" ht="30" customHeight="1" x14ac:dyDescent="0.25">
      <c r="C158" s="380">
        <v>43605</v>
      </c>
      <c r="K158" s="224"/>
      <c r="L158" s="224"/>
      <c r="M158" s="296"/>
    </row>
    <row r="159" spans="1:13" ht="30" customHeight="1" x14ac:dyDescent="0.25">
      <c r="C159" s="380"/>
      <c r="K159" s="224"/>
      <c r="L159" s="224"/>
      <c r="M159" s="296"/>
    </row>
    <row r="160" spans="1:13" ht="30" customHeight="1" x14ac:dyDescent="0.2">
      <c r="K160" s="224"/>
      <c r="L160" s="224"/>
      <c r="M160" s="296"/>
    </row>
    <row r="161" spans="6:13" ht="30" customHeight="1" x14ac:dyDescent="0.2">
      <c r="K161" s="224"/>
      <c r="L161" s="224"/>
      <c r="M161" s="296"/>
    </row>
    <row r="162" spans="6:13" ht="30" customHeight="1" x14ac:dyDescent="0.2">
      <c r="K162" s="224"/>
      <c r="L162" s="224"/>
      <c r="M162" s="296"/>
    </row>
    <row r="163" spans="6:13" ht="30" customHeight="1" thickBot="1" x14ac:dyDescent="0.25">
      <c r="K163" s="224"/>
      <c r="L163" s="224"/>
      <c r="M163" s="296"/>
    </row>
    <row r="164" spans="6:13" ht="30" customHeight="1" thickBot="1" x14ac:dyDescent="0.25">
      <c r="F164" s="267" t="s">
        <v>10</v>
      </c>
      <c r="G164" s="266">
        <v>200</v>
      </c>
      <c r="J164" s="224"/>
      <c r="K164" s="223" t="s">
        <v>214</v>
      </c>
      <c r="L164" s="223">
        <f>+L131</f>
        <v>962855.79</v>
      </c>
    </row>
    <row r="165" spans="6:13" ht="30" customHeight="1" thickBot="1" x14ac:dyDescent="0.25">
      <c r="F165" s="267" t="s">
        <v>12</v>
      </c>
      <c r="G165" s="266">
        <v>150</v>
      </c>
      <c r="K165" s="223" t="s">
        <v>215</v>
      </c>
      <c r="L165" s="223">
        <v>-130000</v>
      </c>
    </row>
    <row r="166" spans="6:13" ht="30" customHeight="1" thickBot="1" x14ac:dyDescent="0.25">
      <c r="F166" s="267" t="s">
        <v>13</v>
      </c>
      <c r="G166" s="266">
        <v>100</v>
      </c>
      <c r="K166" s="223" t="s">
        <v>215</v>
      </c>
      <c r="L166" s="223">
        <v>-250000</v>
      </c>
    </row>
    <row r="167" spans="6:13" ht="30" customHeight="1" thickBot="1" x14ac:dyDescent="0.25">
      <c r="F167" s="267" t="s">
        <v>181</v>
      </c>
      <c r="G167" s="266">
        <v>80</v>
      </c>
      <c r="K167" s="313" t="s">
        <v>216</v>
      </c>
      <c r="L167" s="313">
        <f>SUM(L164:L166)</f>
        <v>582855.79</v>
      </c>
    </row>
    <row r="168" spans="6:13" ht="30" customHeight="1" thickBot="1" x14ac:dyDescent="0.25">
      <c r="F168" s="267" t="s">
        <v>180</v>
      </c>
      <c r="G168" s="266">
        <v>70</v>
      </c>
      <c r="K168" s="224"/>
      <c r="L168" s="224"/>
    </row>
    <row r="169" spans="6:13" ht="30" customHeight="1" thickBot="1" x14ac:dyDescent="0.25">
      <c r="F169" s="267" t="s">
        <v>182</v>
      </c>
      <c r="G169" s="266">
        <v>65</v>
      </c>
      <c r="K169" s="224"/>
      <c r="L169" s="224"/>
    </row>
    <row r="170" spans="6:13" x14ac:dyDescent="0.2">
      <c r="K170" s="224"/>
      <c r="L170" s="224"/>
    </row>
    <row r="171" spans="6:13" x14ac:dyDescent="0.2">
      <c r="K171" s="224"/>
      <c r="L171" s="224"/>
    </row>
    <row r="172" spans="6:13" x14ac:dyDescent="0.2">
      <c r="K172" s="224"/>
      <c r="L172" s="224"/>
    </row>
    <row r="173" spans="6:13" x14ac:dyDescent="0.2">
      <c r="K173" s="224"/>
      <c r="L173" s="224"/>
    </row>
  </sheetData>
  <mergeCells count="30">
    <mergeCell ref="A81:H81"/>
    <mergeCell ref="A139:E139"/>
    <mergeCell ref="A104:C104"/>
    <mergeCell ref="A99:E99"/>
    <mergeCell ref="A138:E138"/>
    <mergeCell ref="B94:D94"/>
    <mergeCell ref="B95:C95"/>
    <mergeCell ref="A98:E98"/>
    <mergeCell ref="B93:D93"/>
    <mergeCell ref="A140:E140"/>
    <mergeCell ref="A1:D1"/>
    <mergeCell ref="A3:H3"/>
    <mergeCell ref="B22:D22"/>
    <mergeCell ref="B23:D23"/>
    <mergeCell ref="B24:C24"/>
    <mergeCell ref="A27:E27"/>
    <mergeCell ref="A26:E26"/>
    <mergeCell ref="A28:E28"/>
    <mergeCell ref="A51:E51"/>
    <mergeCell ref="A76:E76"/>
    <mergeCell ref="A33:H33"/>
    <mergeCell ref="B45:D45"/>
    <mergeCell ref="B46:D46"/>
    <mergeCell ref="B47:C47"/>
    <mergeCell ref="A50:E50"/>
    <mergeCell ref="A56:H56"/>
    <mergeCell ref="B70:D70"/>
    <mergeCell ref="B71:D71"/>
    <mergeCell ref="B72:C72"/>
    <mergeCell ref="A75:E75"/>
  </mergeCells>
  <printOptions gridLines="1"/>
  <pageMargins left="1" right="0" top="0.5" bottom="0.25" header="0" footer="0"/>
  <pageSetup paperSize="3" scale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83"/>
  <sheetViews>
    <sheetView zoomScale="60" zoomScaleNormal="60" workbookViewId="0">
      <pane xSplit="10" ySplit="6" topLeftCell="K7" activePane="bottomRight" state="frozen"/>
      <selection pane="topRight" activeCell="I1" sqref="I1"/>
      <selection pane="bottomLeft" activeCell="A6" sqref="A6"/>
      <selection pane="bottomRight" activeCell="C92" sqref="C92"/>
    </sheetView>
  </sheetViews>
  <sheetFormatPr defaultRowHeight="12.75" x14ac:dyDescent="0.2"/>
  <cols>
    <col min="1" max="1" width="10.7109375" style="4" customWidth="1"/>
    <col min="2" max="2" width="22.7109375" customWidth="1"/>
    <col min="3" max="3" width="34.140625" customWidth="1"/>
    <col min="4" max="4" width="82.42578125" customWidth="1"/>
    <col min="5" max="5" width="15.5703125" bestFit="1" customWidth="1"/>
    <col min="6" max="6" width="100.7109375" customWidth="1"/>
    <col min="7" max="8" width="15.5703125" customWidth="1"/>
    <col min="9" max="9" width="13.5703125" customWidth="1"/>
    <col min="10" max="10" width="9.42578125" customWidth="1"/>
    <col min="11" max="11" width="22.7109375" customWidth="1"/>
    <col min="12" max="12" width="20.7109375" customWidth="1"/>
    <col min="13" max="14" width="25.7109375" customWidth="1"/>
    <col min="15" max="15" width="0" hidden="1" customWidth="1"/>
    <col min="16" max="16" width="19.42578125" customWidth="1"/>
    <col min="17" max="17" width="12.7109375" customWidth="1"/>
    <col min="20" max="20" width="11.28515625" customWidth="1"/>
    <col min="21" max="21" width="18.85546875" customWidth="1"/>
  </cols>
  <sheetData>
    <row r="1" spans="1:18" ht="20.100000000000001" customHeight="1" x14ac:dyDescent="0.2">
      <c r="I1" s="454" t="s">
        <v>51</v>
      </c>
      <c r="K1" s="454" t="s">
        <v>251</v>
      </c>
      <c r="L1" s="454" t="s">
        <v>241</v>
      </c>
      <c r="M1" s="454" t="s">
        <v>242</v>
      </c>
    </row>
    <row r="2" spans="1:18" ht="35.1" customHeight="1" x14ac:dyDescent="0.5">
      <c r="A2" s="854" t="s">
        <v>191</v>
      </c>
      <c r="B2" s="855"/>
      <c r="C2" s="855"/>
      <c r="D2" s="855"/>
      <c r="F2" s="396" t="s">
        <v>260</v>
      </c>
      <c r="G2" s="396"/>
      <c r="H2" s="396"/>
      <c r="I2" s="330">
        <f>+I20+I43+I69+I94+I135</f>
        <v>24065</v>
      </c>
      <c r="J2" s="331" t="s">
        <v>173</v>
      </c>
      <c r="K2" s="434">
        <f>60+I91+I92+I93+I111+I121+I181</f>
        <v>5836</v>
      </c>
      <c r="L2" s="454">
        <f>I111+I121</f>
        <v>4680</v>
      </c>
      <c r="M2" s="453">
        <f>60+I91+I92+I93+I181</f>
        <v>1156</v>
      </c>
      <c r="N2" s="1"/>
    </row>
    <row r="3" spans="1:18" ht="9.9499999999999993" customHeight="1" x14ac:dyDescent="0.5">
      <c r="A3" s="39"/>
      <c r="B3" s="40"/>
      <c r="C3" s="76"/>
      <c r="D3" s="76"/>
      <c r="E3" s="76"/>
      <c r="F3" s="76"/>
      <c r="G3" s="76"/>
      <c r="H3" s="76"/>
      <c r="I3" s="76"/>
      <c r="J3" s="76"/>
      <c r="K3" s="42"/>
      <c r="L3" s="42"/>
      <c r="M3" s="42"/>
      <c r="N3" s="42"/>
    </row>
    <row r="4" spans="1:18" ht="35.1" hidden="1" customHeight="1" thickBot="1" x14ac:dyDescent="0.45">
      <c r="A4" s="852" t="s">
        <v>42</v>
      </c>
      <c r="B4" s="852"/>
      <c r="C4" s="852"/>
      <c r="D4" s="853"/>
      <c r="E4" s="853"/>
      <c r="F4" s="853"/>
      <c r="G4" s="853"/>
      <c r="H4" s="862"/>
      <c r="I4" s="853"/>
      <c r="J4" s="853"/>
      <c r="K4" s="55"/>
      <c r="L4" s="55"/>
      <c r="M4" s="1"/>
      <c r="N4" s="1"/>
    </row>
    <row r="5" spans="1:18" ht="24.95" hidden="1" customHeight="1" thickBot="1" x14ac:dyDescent="0.45">
      <c r="A5" s="38"/>
      <c r="B5" s="38"/>
      <c r="C5" s="38"/>
      <c r="E5" s="37" t="s">
        <v>24</v>
      </c>
      <c r="G5" s="409"/>
      <c r="H5" s="407" t="s">
        <v>236</v>
      </c>
      <c r="I5" s="407" t="s">
        <v>235</v>
      </c>
      <c r="J5" s="409"/>
      <c r="K5" s="268" t="s">
        <v>189</v>
      </c>
      <c r="L5" s="278"/>
      <c r="M5" s="268" t="s">
        <v>176</v>
      </c>
      <c r="N5" s="269"/>
      <c r="P5" s="486" t="s">
        <v>236</v>
      </c>
      <c r="Q5" s="486" t="s">
        <v>236</v>
      </c>
      <c r="R5" s="210"/>
    </row>
    <row r="6" spans="1:18" ht="24.95" hidden="1" customHeight="1" thickBot="1" x14ac:dyDescent="0.4">
      <c r="A6" s="37" t="s">
        <v>7</v>
      </c>
      <c r="B6" s="75" t="s">
        <v>0</v>
      </c>
      <c r="C6" s="75" t="s">
        <v>1</v>
      </c>
      <c r="D6" s="75" t="s">
        <v>6</v>
      </c>
      <c r="E6" s="37" t="s">
        <v>25</v>
      </c>
      <c r="F6" s="75" t="s">
        <v>2</v>
      </c>
      <c r="G6" s="408" t="s">
        <v>238</v>
      </c>
      <c r="H6" s="408" t="s">
        <v>237</v>
      </c>
      <c r="I6" s="408" t="s">
        <v>16</v>
      </c>
      <c r="J6" s="410" t="s">
        <v>8</v>
      </c>
      <c r="K6" s="279" t="s">
        <v>3</v>
      </c>
      <c r="L6" s="280" t="s">
        <v>4</v>
      </c>
      <c r="M6" s="276" t="s">
        <v>3</v>
      </c>
      <c r="N6" s="277" t="s">
        <v>4</v>
      </c>
      <c r="P6" s="486" t="s">
        <v>4</v>
      </c>
      <c r="Q6" s="500" t="s">
        <v>252</v>
      </c>
    </row>
    <row r="7" spans="1:18" ht="30" hidden="1" customHeight="1" x14ac:dyDescent="0.25">
      <c r="A7" s="88" t="s">
        <v>83</v>
      </c>
      <c r="B7" s="89" t="s">
        <v>15</v>
      </c>
      <c r="C7" s="89" t="s">
        <v>81</v>
      </c>
      <c r="D7" s="89" t="s">
        <v>82</v>
      </c>
      <c r="E7" s="90">
        <v>1.03</v>
      </c>
      <c r="F7" s="89" t="s">
        <v>96</v>
      </c>
      <c r="G7" s="422">
        <v>43663</v>
      </c>
      <c r="H7" s="146">
        <v>1061.3900000000001</v>
      </c>
      <c r="I7" s="412">
        <v>1125</v>
      </c>
      <c r="J7" s="147" t="s">
        <v>11</v>
      </c>
      <c r="K7" s="252">
        <v>65</v>
      </c>
      <c r="L7" s="246">
        <f t="shared" ref="L7:L15" si="0">+K7*I7</f>
        <v>73125</v>
      </c>
      <c r="M7" s="275">
        <v>61.99</v>
      </c>
      <c r="N7" s="275">
        <f t="shared" ref="N7:N15" si="1">+M7*I7</f>
        <v>69738.75</v>
      </c>
      <c r="P7" s="501">
        <f>+M7*H7</f>
        <v>65795.566100000011</v>
      </c>
      <c r="Q7" s="499">
        <f>+P7/N7</f>
        <v>0.94345777777777795</v>
      </c>
      <c r="R7" s="208"/>
    </row>
    <row r="8" spans="1:18" ht="24.95" hidden="1" customHeight="1" x14ac:dyDescent="0.2">
      <c r="A8" s="459" t="s">
        <v>206</v>
      </c>
      <c r="B8" s="95" t="s">
        <v>88</v>
      </c>
      <c r="C8" s="95" t="s">
        <v>36</v>
      </c>
      <c r="D8" s="95" t="s">
        <v>85</v>
      </c>
      <c r="E8" s="96">
        <v>1.02</v>
      </c>
      <c r="F8" s="95" t="s">
        <v>37</v>
      </c>
      <c r="G8" s="411">
        <v>43654</v>
      </c>
      <c r="H8" s="90">
        <v>144.6</v>
      </c>
      <c r="I8" s="413">
        <v>152</v>
      </c>
      <c r="J8" s="97" t="s">
        <v>23</v>
      </c>
      <c r="K8" s="248">
        <v>100</v>
      </c>
      <c r="L8" s="240">
        <f t="shared" si="0"/>
        <v>15200</v>
      </c>
      <c r="M8" s="228">
        <v>80.44</v>
      </c>
      <c r="N8" s="228">
        <f t="shared" si="1"/>
        <v>12226.88</v>
      </c>
      <c r="P8" s="487">
        <f t="shared" ref="P8:P17" si="2">+M8*H8</f>
        <v>11631.624</v>
      </c>
      <c r="Q8" s="490">
        <f t="shared" ref="Q8:Q17" si="3">+P8/N8</f>
        <v>0.95131578947368423</v>
      </c>
    </row>
    <row r="9" spans="1:18" ht="30" hidden="1" customHeight="1" x14ac:dyDescent="0.25">
      <c r="A9" s="332" t="s">
        <v>86</v>
      </c>
      <c r="B9" s="333" t="s">
        <v>15</v>
      </c>
      <c r="C9" s="333" t="s">
        <v>87</v>
      </c>
      <c r="D9" s="333" t="s">
        <v>89</v>
      </c>
      <c r="E9" s="334">
        <v>0.14000000000000001</v>
      </c>
      <c r="F9" s="333" t="s">
        <v>96</v>
      </c>
      <c r="G9" s="411">
        <v>43705</v>
      </c>
      <c r="H9" s="90">
        <v>212</v>
      </c>
      <c r="I9" s="455">
        <v>182</v>
      </c>
      <c r="J9" s="91" t="s">
        <v>11</v>
      </c>
      <c r="K9" s="248">
        <v>100</v>
      </c>
      <c r="L9" s="240">
        <f t="shared" si="0"/>
        <v>18200</v>
      </c>
      <c r="M9" s="228">
        <v>84.81</v>
      </c>
      <c r="N9" s="228">
        <f t="shared" si="1"/>
        <v>15435.42</v>
      </c>
      <c r="O9" s="7"/>
      <c r="P9" s="487">
        <f t="shared" si="2"/>
        <v>17979.72</v>
      </c>
      <c r="Q9" s="490">
        <f t="shared" si="3"/>
        <v>1.1648351648351649</v>
      </c>
    </row>
    <row r="10" spans="1:18" ht="30" hidden="1" customHeight="1" x14ac:dyDescent="0.25">
      <c r="A10" s="332" t="s">
        <v>90</v>
      </c>
      <c r="B10" s="333" t="s">
        <v>15</v>
      </c>
      <c r="C10" s="333" t="s">
        <v>91</v>
      </c>
      <c r="D10" s="456" t="s">
        <v>92</v>
      </c>
      <c r="E10" s="334">
        <v>0.41</v>
      </c>
      <c r="F10" s="333" t="s">
        <v>96</v>
      </c>
      <c r="G10" s="411">
        <v>43705</v>
      </c>
      <c r="H10" s="90">
        <v>538.32000000000005</v>
      </c>
      <c r="I10" s="455">
        <v>498</v>
      </c>
      <c r="J10" s="91" t="s">
        <v>11</v>
      </c>
      <c r="K10" s="248">
        <v>80</v>
      </c>
      <c r="L10" s="240">
        <f t="shared" si="0"/>
        <v>39840</v>
      </c>
      <c r="M10" s="228">
        <v>73.069999999999993</v>
      </c>
      <c r="N10" s="228">
        <f t="shared" si="1"/>
        <v>36388.859999999993</v>
      </c>
      <c r="O10" s="7"/>
      <c r="P10" s="487">
        <f t="shared" si="2"/>
        <v>39335.042399999998</v>
      </c>
      <c r="Q10" s="490">
        <f t="shared" si="3"/>
        <v>1.0809638554216869</v>
      </c>
    </row>
    <row r="11" spans="1:18" ht="30" hidden="1" customHeight="1" x14ac:dyDescent="0.25">
      <c r="A11" s="88" t="s">
        <v>93</v>
      </c>
      <c r="B11" s="89" t="s">
        <v>15</v>
      </c>
      <c r="C11" s="89" t="s">
        <v>94</v>
      </c>
      <c r="D11" s="89" t="s">
        <v>225</v>
      </c>
      <c r="E11" s="90">
        <v>0.21</v>
      </c>
      <c r="F11" s="89" t="s">
        <v>96</v>
      </c>
      <c r="G11" s="411">
        <v>43658</v>
      </c>
      <c r="H11" s="90">
        <v>207.38</v>
      </c>
      <c r="I11" s="414">
        <v>205</v>
      </c>
      <c r="J11" s="91" t="s">
        <v>11</v>
      </c>
      <c r="K11" s="248">
        <v>80</v>
      </c>
      <c r="L11" s="240">
        <f t="shared" si="0"/>
        <v>16400</v>
      </c>
      <c r="M11" s="228">
        <v>72.59</v>
      </c>
      <c r="N11" s="228">
        <f t="shared" si="1"/>
        <v>14880.95</v>
      </c>
      <c r="O11" s="7"/>
      <c r="P11" s="487">
        <f t="shared" si="2"/>
        <v>15053.7142</v>
      </c>
      <c r="Q11" s="490">
        <f t="shared" si="3"/>
        <v>1.011609756097561</v>
      </c>
    </row>
    <row r="12" spans="1:18" ht="30" hidden="1" customHeight="1" x14ac:dyDescent="0.2">
      <c r="A12" s="88" t="s">
        <v>97</v>
      </c>
      <c r="B12" s="89" t="s">
        <v>15</v>
      </c>
      <c r="C12" s="89" t="s">
        <v>98</v>
      </c>
      <c r="D12" s="89" t="s">
        <v>99</v>
      </c>
      <c r="E12" s="90">
        <v>0.13</v>
      </c>
      <c r="F12" s="89" t="s">
        <v>96</v>
      </c>
      <c r="G12" s="411">
        <v>43658</v>
      </c>
      <c r="H12" s="90">
        <v>130.25</v>
      </c>
      <c r="I12" s="414">
        <v>124</v>
      </c>
      <c r="J12" s="91" t="s">
        <v>11</v>
      </c>
      <c r="K12" s="248">
        <v>100</v>
      </c>
      <c r="L12" s="240">
        <f t="shared" si="0"/>
        <v>12400</v>
      </c>
      <c r="M12" s="228">
        <v>74.459999999999994</v>
      </c>
      <c r="N12" s="228">
        <f t="shared" si="1"/>
        <v>9233.0399999999991</v>
      </c>
      <c r="P12" s="487">
        <f t="shared" si="2"/>
        <v>9698.4149999999991</v>
      </c>
      <c r="Q12" s="490">
        <f t="shared" si="3"/>
        <v>1.0504032258064515</v>
      </c>
    </row>
    <row r="13" spans="1:18" ht="30" hidden="1" customHeight="1" x14ac:dyDescent="0.2">
      <c r="A13" s="88" t="s">
        <v>100</v>
      </c>
      <c r="B13" s="89" t="s">
        <v>15</v>
      </c>
      <c r="C13" s="89" t="s">
        <v>101</v>
      </c>
      <c r="D13" s="89" t="s">
        <v>226</v>
      </c>
      <c r="E13" s="90">
        <v>0.3</v>
      </c>
      <c r="F13" s="89" t="s">
        <v>96</v>
      </c>
      <c r="G13" s="411">
        <v>43658</v>
      </c>
      <c r="H13" s="90">
        <v>201.46</v>
      </c>
      <c r="I13" s="414">
        <v>295</v>
      </c>
      <c r="J13" s="91" t="s">
        <v>11</v>
      </c>
      <c r="K13" s="248">
        <v>80</v>
      </c>
      <c r="L13" s="240">
        <f t="shared" si="0"/>
        <v>23600</v>
      </c>
      <c r="M13" s="228">
        <v>72.010000000000005</v>
      </c>
      <c r="N13" s="228">
        <f t="shared" si="1"/>
        <v>21242.95</v>
      </c>
      <c r="P13" s="487">
        <f t="shared" si="2"/>
        <v>14507.134600000001</v>
      </c>
      <c r="Q13" s="490">
        <f t="shared" si="3"/>
        <v>0.68291525423728816</v>
      </c>
    </row>
    <row r="14" spans="1:18" ht="50.1" hidden="1" customHeight="1" thickBot="1" x14ac:dyDescent="0.25">
      <c r="A14" s="183" t="s">
        <v>103</v>
      </c>
      <c r="B14" s="184" t="s">
        <v>15</v>
      </c>
      <c r="C14" s="184" t="s">
        <v>104</v>
      </c>
      <c r="D14" s="184" t="s">
        <v>105</v>
      </c>
      <c r="E14" s="185">
        <v>0.5</v>
      </c>
      <c r="F14" s="184" t="s">
        <v>96</v>
      </c>
      <c r="G14" s="411" t="s">
        <v>239</v>
      </c>
      <c r="H14" s="90">
        <f>297.68+191.4</f>
        <v>489.08000000000004</v>
      </c>
      <c r="I14" s="415">
        <v>480</v>
      </c>
      <c r="J14" s="186" t="s">
        <v>11</v>
      </c>
      <c r="K14" s="249">
        <v>80</v>
      </c>
      <c r="L14" s="240">
        <f t="shared" si="0"/>
        <v>38400</v>
      </c>
      <c r="M14" s="228">
        <v>75.180000000000007</v>
      </c>
      <c r="N14" s="228">
        <f t="shared" si="1"/>
        <v>36086.400000000001</v>
      </c>
      <c r="P14" s="487">
        <f t="shared" si="2"/>
        <v>36769.034400000004</v>
      </c>
      <c r="Q14" s="490">
        <f t="shared" si="3"/>
        <v>1.0189166666666667</v>
      </c>
    </row>
    <row r="15" spans="1:18" ht="30" hidden="1" customHeight="1" x14ac:dyDescent="0.2">
      <c r="A15" s="457" t="s">
        <v>188</v>
      </c>
      <c r="B15" s="438" t="s">
        <v>5</v>
      </c>
      <c r="C15" s="438" t="s">
        <v>107</v>
      </c>
      <c r="D15" s="438" t="s">
        <v>108</v>
      </c>
      <c r="E15" s="439">
        <v>0.04</v>
      </c>
      <c r="F15" s="438" t="s">
        <v>109</v>
      </c>
      <c r="G15" s="431">
        <v>43706</v>
      </c>
      <c r="H15" s="334">
        <v>50.74</v>
      </c>
      <c r="I15" s="458">
        <v>53</v>
      </c>
      <c r="J15" s="154" t="s">
        <v>11</v>
      </c>
      <c r="K15" s="250">
        <v>200</v>
      </c>
      <c r="L15" s="240">
        <f t="shared" si="0"/>
        <v>10600</v>
      </c>
      <c r="M15" s="228">
        <v>112.05</v>
      </c>
      <c r="N15" s="228">
        <f t="shared" si="1"/>
        <v>5938.65</v>
      </c>
      <c r="P15" s="487">
        <f t="shared" si="2"/>
        <v>5685.4170000000004</v>
      </c>
      <c r="Q15" s="490">
        <f t="shared" si="3"/>
        <v>0.95735849056603783</v>
      </c>
    </row>
    <row r="16" spans="1:18" ht="30" hidden="1" customHeight="1" thickBot="1" x14ac:dyDescent="0.25">
      <c r="A16" s="172"/>
      <c r="B16" s="173"/>
      <c r="C16" s="173"/>
      <c r="D16" s="173"/>
      <c r="E16" s="205"/>
      <c r="F16" s="128" t="s">
        <v>110</v>
      </c>
      <c r="G16" s="99"/>
      <c r="H16" s="90"/>
      <c r="I16" s="163"/>
      <c r="J16" s="163"/>
      <c r="K16" s="251"/>
      <c r="L16" s="240"/>
      <c r="M16" s="228"/>
      <c r="N16" s="228"/>
      <c r="P16" s="488"/>
      <c r="Q16" s="98"/>
    </row>
    <row r="17" spans="1:17" ht="30" hidden="1" customHeight="1" x14ac:dyDescent="0.2">
      <c r="A17" s="291" t="s">
        <v>183</v>
      </c>
      <c r="B17" s="145" t="s">
        <v>14</v>
      </c>
      <c r="C17" s="145" t="s">
        <v>111</v>
      </c>
      <c r="D17" s="145" t="s">
        <v>112</v>
      </c>
      <c r="E17" s="146">
        <v>0.68</v>
      </c>
      <c r="F17" s="145" t="s">
        <v>113</v>
      </c>
      <c r="G17" s="411">
        <v>43659</v>
      </c>
      <c r="H17" s="90">
        <v>692.94</v>
      </c>
      <c r="I17" s="416">
        <v>720</v>
      </c>
      <c r="J17" s="147" t="s">
        <v>11</v>
      </c>
      <c r="K17" s="252">
        <v>70</v>
      </c>
      <c r="L17" s="240">
        <f>+K17*I17</f>
        <v>50400</v>
      </c>
      <c r="M17" s="228">
        <v>68.5</v>
      </c>
      <c r="N17" s="228">
        <f>+M17*I17</f>
        <v>49320</v>
      </c>
      <c r="P17" s="487">
        <f t="shared" si="2"/>
        <v>47466.390000000007</v>
      </c>
      <c r="Q17" s="490">
        <f t="shared" si="3"/>
        <v>0.96241666666666681</v>
      </c>
    </row>
    <row r="18" spans="1:17" ht="30" hidden="1" customHeight="1" x14ac:dyDescent="0.2">
      <c r="A18" s="340" t="s">
        <v>106</v>
      </c>
      <c r="B18" s="341" t="s">
        <v>14</v>
      </c>
      <c r="C18" s="341" t="s">
        <v>114</v>
      </c>
      <c r="D18" s="341" t="s">
        <v>115</v>
      </c>
      <c r="E18" s="342">
        <v>0.39</v>
      </c>
      <c r="F18" s="341" t="s">
        <v>117</v>
      </c>
      <c r="G18" s="419"/>
      <c r="H18" s="419"/>
      <c r="I18" s="417">
        <v>580</v>
      </c>
      <c r="J18" s="343" t="s">
        <v>11</v>
      </c>
      <c r="K18" s="344">
        <v>70</v>
      </c>
      <c r="L18" s="345">
        <f>+K18*I18</f>
        <v>40600</v>
      </c>
      <c r="M18" s="344">
        <v>68.5</v>
      </c>
      <c r="N18" s="344">
        <f>+M18*I18</f>
        <v>39730</v>
      </c>
      <c r="P18" s="488"/>
      <c r="Q18" s="98"/>
    </row>
    <row r="19" spans="1:17" ht="30" hidden="1" customHeight="1" thickBot="1" x14ac:dyDescent="0.3">
      <c r="A19" s="346"/>
      <c r="B19" s="116"/>
      <c r="C19" s="116"/>
      <c r="D19" s="116"/>
      <c r="E19" s="347"/>
      <c r="F19" s="348" t="s">
        <v>116</v>
      </c>
      <c r="G19" s="404"/>
      <c r="H19" s="404"/>
      <c r="I19" s="259"/>
      <c r="J19" s="260"/>
      <c r="K19" s="255"/>
      <c r="L19" s="256"/>
      <c r="M19" s="349"/>
      <c r="N19" s="349"/>
      <c r="P19" s="488"/>
      <c r="Q19" s="493"/>
    </row>
    <row r="20" spans="1:17" ht="30" hidden="1" customHeight="1" thickBot="1" x14ac:dyDescent="0.25">
      <c r="A20" s="253"/>
      <c r="B20" s="86"/>
      <c r="C20" s="86"/>
      <c r="D20" s="86"/>
      <c r="E20" s="254"/>
      <c r="F20" s="86"/>
      <c r="G20" s="86"/>
      <c r="H20" s="471">
        <f>SUM(H7:H17)</f>
        <v>3728.16</v>
      </c>
      <c r="I20" s="440">
        <f>SUM(I7:I17)</f>
        <v>3834</v>
      </c>
      <c r="J20" s="262" t="s">
        <v>11</v>
      </c>
      <c r="K20" s="258" t="s">
        <v>177</v>
      </c>
      <c r="L20" s="258">
        <f>SUM(L7:L17)</f>
        <v>298165</v>
      </c>
      <c r="M20" s="258" t="s">
        <v>177</v>
      </c>
      <c r="N20" s="258">
        <f>SUM(N7:N17)</f>
        <v>270491.90000000002</v>
      </c>
      <c r="P20" s="489">
        <f>SUM(P7:P17)</f>
        <v>263922.0577</v>
      </c>
      <c r="Q20" s="492">
        <f>+P20/N20</f>
        <v>0.97571150078800872</v>
      </c>
    </row>
    <row r="21" spans="1:17" ht="30" hidden="1" customHeight="1" thickBot="1" x14ac:dyDescent="0.3">
      <c r="A21" s="321" t="s">
        <v>106</v>
      </c>
      <c r="B21" s="322" t="s">
        <v>187</v>
      </c>
      <c r="C21" s="323"/>
      <c r="D21" s="323"/>
      <c r="E21" s="22"/>
      <c r="F21" s="86"/>
      <c r="G21" s="86"/>
      <c r="H21" s="86"/>
      <c r="I21" s="80"/>
      <c r="J21" s="10"/>
      <c r="K21" s="80"/>
      <c r="L21" s="80"/>
      <c r="M21" s="218"/>
      <c r="N21" s="218"/>
    </row>
    <row r="22" spans="1:17" ht="30" hidden="1" customHeight="1" thickBot="1" x14ac:dyDescent="0.4">
      <c r="A22" s="28"/>
      <c r="B22" s="21"/>
      <c r="C22" s="21"/>
      <c r="D22" s="2"/>
      <c r="E22" s="2"/>
      <c r="F22" s="131" t="s">
        <v>47</v>
      </c>
      <c r="G22" s="121"/>
      <c r="H22" s="121"/>
      <c r="I22" s="122" t="s">
        <v>8</v>
      </c>
      <c r="J22" s="122" t="s">
        <v>3</v>
      </c>
      <c r="K22" s="270" t="s">
        <v>3</v>
      </c>
      <c r="L22" s="124" t="s">
        <v>4</v>
      </c>
      <c r="M22" s="282" t="s">
        <v>3</v>
      </c>
      <c r="N22" s="283" t="s">
        <v>4</v>
      </c>
    </row>
    <row r="23" spans="1:17" ht="30" hidden="1" customHeight="1" thickTop="1" x14ac:dyDescent="0.25">
      <c r="A23" s="28"/>
      <c r="B23" s="849" t="s">
        <v>48</v>
      </c>
      <c r="C23" s="850"/>
      <c r="D23" s="851"/>
      <c r="E23" s="2"/>
      <c r="F23" s="134" t="s">
        <v>61</v>
      </c>
      <c r="G23" s="136"/>
      <c r="H23" s="136"/>
      <c r="I23" s="139">
        <v>3500</v>
      </c>
      <c r="J23" s="91" t="s">
        <v>9</v>
      </c>
      <c r="K23" s="239">
        <v>2.5</v>
      </c>
      <c r="L23" s="272">
        <f t="shared" ref="L23:L28" si="4">+K23*I23</f>
        <v>8750</v>
      </c>
      <c r="M23" s="284">
        <v>2.0499999999999998</v>
      </c>
      <c r="N23" s="275">
        <f t="shared" ref="N23:N28" si="5">+M23*I23</f>
        <v>7174.9999999999991</v>
      </c>
    </row>
    <row r="24" spans="1:17" ht="30" hidden="1" customHeight="1" thickBot="1" x14ac:dyDescent="0.3">
      <c r="A24" s="28"/>
      <c r="B24" s="846" t="s">
        <v>49</v>
      </c>
      <c r="C24" s="847"/>
      <c r="D24" s="848"/>
      <c r="E24" s="2"/>
      <c r="F24" s="134" t="s">
        <v>62</v>
      </c>
      <c r="G24" s="136"/>
      <c r="H24" s="136"/>
      <c r="I24" s="139">
        <v>7500</v>
      </c>
      <c r="J24" s="91" t="s">
        <v>9</v>
      </c>
      <c r="K24" s="239">
        <v>1.5</v>
      </c>
      <c r="L24" s="272">
        <f t="shared" si="4"/>
        <v>11250</v>
      </c>
      <c r="M24" s="271">
        <v>1.55</v>
      </c>
      <c r="N24" s="228">
        <f t="shared" si="5"/>
        <v>11625</v>
      </c>
    </row>
    <row r="25" spans="1:17" ht="30" hidden="1" customHeight="1" thickTop="1" thickBot="1" x14ac:dyDescent="0.3">
      <c r="A25" s="28"/>
      <c r="B25" s="844"/>
      <c r="C25" s="845"/>
      <c r="D25" s="79"/>
      <c r="E25" s="2"/>
      <c r="F25" s="134" t="s">
        <v>10</v>
      </c>
      <c r="G25" s="136"/>
      <c r="H25" s="136"/>
      <c r="I25" s="139">
        <v>25</v>
      </c>
      <c r="J25" s="91" t="s">
        <v>11</v>
      </c>
      <c r="K25" s="239">
        <v>200</v>
      </c>
      <c r="L25" s="272">
        <f t="shared" si="4"/>
        <v>5000</v>
      </c>
      <c r="M25" s="271">
        <v>190</v>
      </c>
      <c r="N25" s="228">
        <f t="shared" si="5"/>
        <v>4750</v>
      </c>
    </row>
    <row r="26" spans="1:17" ht="30" hidden="1" customHeight="1" thickBot="1" x14ac:dyDescent="0.4">
      <c r="A26" s="28"/>
      <c r="B26" s="75"/>
      <c r="C26" s="75"/>
      <c r="D26" s="137" t="s">
        <v>76</v>
      </c>
      <c r="E26" s="87"/>
      <c r="F26" s="136" t="s">
        <v>12</v>
      </c>
      <c r="G26" s="136"/>
      <c r="H26" s="136"/>
      <c r="I26" s="139">
        <v>75</v>
      </c>
      <c r="J26" s="91" t="s">
        <v>11</v>
      </c>
      <c r="K26" s="239">
        <v>150</v>
      </c>
      <c r="L26" s="272">
        <f t="shared" si="4"/>
        <v>11250</v>
      </c>
      <c r="M26" s="271">
        <v>140</v>
      </c>
      <c r="N26" s="228">
        <f t="shared" si="5"/>
        <v>10500</v>
      </c>
    </row>
    <row r="27" spans="1:17" ht="30" hidden="1" customHeight="1" x14ac:dyDescent="0.25">
      <c r="A27" s="860" t="s">
        <v>209</v>
      </c>
      <c r="B27" s="861"/>
      <c r="C27" s="861"/>
      <c r="D27" s="861"/>
      <c r="E27" s="861"/>
      <c r="F27" s="134" t="s">
        <v>13</v>
      </c>
      <c r="G27" s="136"/>
      <c r="H27" s="136"/>
      <c r="I27" s="139">
        <v>150</v>
      </c>
      <c r="J27" s="91" t="s">
        <v>11</v>
      </c>
      <c r="K27" s="239">
        <v>100</v>
      </c>
      <c r="L27" s="272">
        <f t="shared" si="4"/>
        <v>15000</v>
      </c>
      <c r="M27" s="271">
        <v>95</v>
      </c>
      <c r="N27" s="228">
        <f t="shared" si="5"/>
        <v>14250</v>
      </c>
    </row>
    <row r="28" spans="1:17" ht="30" hidden="1" customHeight="1" thickBot="1" x14ac:dyDescent="0.3">
      <c r="A28" s="856" t="s">
        <v>210</v>
      </c>
      <c r="B28" s="855"/>
      <c r="C28" s="855"/>
      <c r="D28" s="855"/>
      <c r="E28" s="855"/>
      <c r="F28" s="135" t="s">
        <v>19</v>
      </c>
      <c r="G28" s="405"/>
      <c r="H28" s="405"/>
      <c r="I28" s="140">
        <v>250</v>
      </c>
      <c r="J28" s="142" t="s">
        <v>11</v>
      </c>
      <c r="K28" s="241">
        <v>80</v>
      </c>
      <c r="L28" s="273">
        <f t="shared" si="4"/>
        <v>20000</v>
      </c>
      <c r="M28" s="271">
        <v>90</v>
      </c>
      <c r="N28" s="228">
        <f t="shared" si="5"/>
        <v>22500</v>
      </c>
    </row>
    <row r="29" spans="1:17" ht="30" hidden="1" customHeight="1" thickBot="1" x14ac:dyDescent="0.3">
      <c r="A29" s="856" t="s">
        <v>211</v>
      </c>
      <c r="B29" s="855"/>
      <c r="C29" s="855"/>
      <c r="D29" s="855"/>
      <c r="E29" s="855"/>
      <c r="F29" s="86"/>
      <c r="G29" s="86"/>
      <c r="H29" s="86"/>
      <c r="I29" s="225"/>
      <c r="J29" s="226"/>
      <c r="K29" s="258" t="s">
        <v>177</v>
      </c>
      <c r="L29" s="258">
        <f>SUM(L23:L28)</f>
        <v>71250</v>
      </c>
      <c r="M29" s="274" t="s">
        <v>177</v>
      </c>
      <c r="N29" s="227">
        <f>SUM(N23:N28)</f>
        <v>70800</v>
      </c>
    </row>
    <row r="30" spans="1:17" ht="9.9499999999999993" hidden="1" customHeight="1" x14ac:dyDescent="0.25">
      <c r="A30" s="81"/>
      <c r="B30" s="82"/>
      <c r="C30" s="82"/>
      <c r="F30" s="21"/>
      <c r="G30" s="21"/>
      <c r="H30" s="21"/>
      <c r="I30" s="7"/>
      <c r="J30" s="7"/>
      <c r="K30" s="7"/>
      <c r="L30" s="80"/>
      <c r="M30" s="218"/>
      <c r="N30" s="218"/>
    </row>
    <row r="31" spans="1:17" ht="9.9499999999999993" hidden="1" customHeight="1" x14ac:dyDescent="0.25">
      <c r="A31" s="34"/>
      <c r="B31" s="44"/>
      <c r="C31" s="44"/>
      <c r="D31" s="45"/>
      <c r="E31" s="46"/>
      <c r="F31" s="46"/>
      <c r="G31" s="46"/>
      <c r="H31" s="46"/>
      <c r="I31" s="46"/>
      <c r="J31" s="46"/>
      <c r="K31" s="47"/>
      <c r="L31" s="76"/>
      <c r="M31" s="219"/>
      <c r="N31" s="219"/>
    </row>
    <row r="32" spans="1:17" ht="35.1" hidden="1" customHeight="1" x14ac:dyDescent="0.5">
      <c r="A32" s="43" t="s">
        <v>54</v>
      </c>
      <c r="B32" s="82"/>
      <c r="C32" s="82"/>
      <c r="F32" s="396" t="str">
        <f>+F2</f>
        <v>UPDATED 11/11/2019</v>
      </c>
      <c r="G32" s="396"/>
      <c r="H32" s="396"/>
      <c r="I32" s="7"/>
      <c r="J32" s="7"/>
      <c r="K32" s="7"/>
      <c r="L32" s="80"/>
      <c r="M32" s="218"/>
      <c r="N32" s="218"/>
    </row>
    <row r="33" spans="1:18" ht="9.9499999999999993" hidden="1" customHeight="1" x14ac:dyDescent="0.25">
      <c r="A33" s="34"/>
      <c r="B33" s="44"/>
      <c r="C33" s="44"/>
      <c r="D33" s="45"/>
      <c r="E33" s="46"/>
      <c r="F33" s="46"/>
      <c r="G33" s="46"/>
      <c r="H33" s="46"/>
      <c r="I33" s="46"/>
      <c r="J33" s="46"/>
      <c r="K33" s="47"/>
      <c r="L33" s="76"/>
      <c r="M33" s="219"/>
      <c r="N33" s="219"/>
    </row>
    <row r="34" spans="1:18" ht="35.1" hidden="1" customHeight="1" thickBot="1" x14ac:dyDescent="0.45">
      <c r="A34" s="852" t="s">
        <v>43</v>
      </c>
      <c r="B34" s="852"/>
      <c r="C34" s="852"/>
      <c r="D34" s="853"/>
      <c r="E34" s="853"/>
      <c r="F34" s="853"/>
      <c r="G34" s="853"/>
      <c r="H34" s="853"/>
      <c r="I34" s="853"/>
      <c r="J34" s="853"/>
      <c r="K34" s="55"/>
      <c r="L34" s="55"/>
      <c r="M34" s="220"/>
      <c r="N34" s="220"/>
      <c r="O34" s="105"/>
    </row>
    <row r="35" spans="1:18" ht="24.95" hidden="1" customHeight="1" thickBot="1" x14ac:dyDescent="0.45">
      <c r="A35" s="38"/>
      <c r="B35" s="38"/>
      <c r="C35" s="38"/>
      <c r="E35" s="37" t="s">
        <v>24</v>
      </c>
      <c r="G35" s="409"/>
      <c r="H35" s="407" t="s">
        <v>236</v>
      </c>
      <c r="I35" s="407" t="s">
        <v>235</v>
      </c>
      <c r="J35" s="409"/>
      <c r="K35" s="268" t="s">
        <v>189</v>
      </c>
      <c r="L35" s="278"/>
      <c r="M35" s="268" t="s">
        <v>176</v>
      </c>
      <c r="N35" s="269"/>
      <c r="O35" s="105"/>
      <c r="P35" s="486" t="s">
        <v>236</v>
      </c>
      <c r="Q35" s="486" t="s">
        <v>236</v>
      </c>
    </row>
    <row r="36" spans="1:18" ht="24.95" hidden="1" customHeight="1" thickBot="1" x14ac:dyDescent="0.4">
      <c r="A36" s="37" t="s">
        <v>7</v>
      </c>
      <c r="B36" s="75" t="s">
        <v>0</v>
      </c>
      <c r="C36" s="75" t="s">
        <v>1</v>
      </c>
      <c r="D36" s="75" t="s">
        <v>6</v>
      </c>
      <c r="E36" s="37" t="s">
        <v>25</v>
      </c>
      <c r="F36" s="75" t="s">
        <v>2</v>
      </c>
      <c r="G36" s="418" t="s">
        <v>238</v>
      </c>
      <c r="H36" s="418" t="s">
        <v>237</v>
      </c>
      <c r="I36" s="408" t="s">
        <v>16</v>
      </c>
      <c r="J36" s="410" t="s">
        <v>8</v>
      </c>
      <c r="K36" s="279" t="s">
        <v>3</v>
      </c>
      <c r="L36" s="280" t="s">
        <v>4</v>
      </c>
      <c r="M36" s="276" t="s">
        <v>3</v>
      </c>
      <c r="N36" s="277" t="s">
        <v>4</v>
      </c>
      <c r="O36" s="105"/>
      <c r="P36" s="486" t="s">
        <v>4</v>
      </c>
      <c r="Q36" s="500" t="s">
        <v>252</v>
      </c>
    </row>
    <row r="37" spans="1:18" s="2" customFormat="1" ht="36" hidden="1" customHeight="1" x14ac:dyDescent="0.25">
      <c r="A37" s="332" t="s">
        <v>219</v>
      </c>
      <c r="B37" s="333" t="s">
        <v>32</v>
      </c>
      <c r="C37" s="333" t="s">
        <v>163</v>
      </c>
      <c r="D37" s="333" t="s">
        <v>164</v>
      </c>
      <c r="E37" s="334">
        <v>0.27</v>
      </c>
      <c r="F37" s="333" t="s">
        <v>37</v>
      </c>
      <c r="G37" s="460">
        <v>43704</v>
      </c>
      <c r="H37" s="90">
        <v>154.33000000000001</v>
      </c>
      <c r="I37" s="461">
        <v>130</v>
      </c>
      <c r="J37" s="91" t="s">
        <v>11</v>
      </c>
      <c r="K37" s="239">
        <v>100</v>
      </c>
      <c r="L37" s="239">
        <f t="shared" ref="L37:L42" si="6">+K37*I37</f>
        <v>13000</v>
      </c>
      <c r="M37" s="228">
        <v>86.53</v>
      </c>
      <c r="N37" s="228">
        <f t="shared" ref="N37:N42" si="7">+M37*I37</f>
        <v>11248.9</v>
      </c>
      <c r="O37" s="105"/>
      <c r="P37" s="487">
        <f t="shared" ref="P37:P42" si="8">+M37*H37</f>
        <v>13354.174900000002</v>
      </c>
      <c r="Q37" s="490">
        <f>+P37/N37</f>
        <v>1.1871538461538464</v>
      </c>
      <c r="R37" s="208"/>
    </row>
    <row r="38" spans="1:18" s="2" customFormat="1" ht="36" hidden="1" customHeight="1" x14ac:dyDescent="0.25">
      <c r="A38" s="332" t="s">
        <v>220</v>
      </c>
      <c r="B38" s="333" t="s">
        <v>32</v>
      </c>
      <c r="C38" s="333" t="s">
        <v>221</v>
      </c>
      <c r="D38" s="333" t="s">
        <v>222</v>
      </c>
      <c r="E38" s="334">
        <v>0.3</v>
      </c>
      <c r="F38" s="333" t="s">
        <v>37</v>
      </c>
      <c r="G38" s="460">
        <v>43704</v>
      </c>
      <c r="H38" s="90">
        <v>140.61000000000001</v>
      </c>
      <c r="I38" s="461">
        <v>108</v>
      </c>
      <c r="J38" s="91" t="s">
        <v>11</v>
      </c>
      <c r="K38" s="281">
        <v>100</v>
      </c>
      <c r="L38" s="281">
        <f t="shared" si="6"/>
        <v>10800</v>
      </c>
      <c r="M38" s="275">
        <v>95</v>
      </c>
      <c r="N38" s="275">
        <f t="shared" si="7"/>
        <v>10260</v>
      </c>
      <c r="O38" s="105"/>
      <c r="P38" s="487">
        <f t="shared" si="8"/>
        <v>13357.95</v>
      </c>
      <c r="Q38" s="490">
        <f t="shared" ref="Q38:Q43" si="9">+P38/N38</f>
        <v>1.3019444444444446</v>
      </c>
      <c r="R38" s="208"/>
    </row>
    <row r="39" spans="1:18" s="2" customFormat="1" ht="36" hidden="1" customHeight="1" x14ac:dyDescent="0.25">
      <c r="A39" s="332" t="s">
        <v>194</v>
      </c>
      <c r="B39" s="333" t="s">
        <v>32</v>
      </c>
      <c r="C39" s="333" t="s">
        <v>132</v>
      </c>
      <c r="D39" s="333" t="s">
        <v>133</v>
      </c>
      <c r="E39" s="334">
        <v>0.5</v>
      </c>
      <c r="F39" s="333" t="s">
        <v>136</v>
      </c>
      <c r="G39" s="460">
        <v>43704</v>
      </c>
      <c r="H39" s="90">
        <v>500</v>
      </c>
      <c r="I39" s="461">
        <v>520</v>
      </c>
      <c r="J39" s="91" t="s">
        <v>11</v>
      </c>
      <c r="K39" s="281">
        <v>80</v>
      </c>
      <c r="L39" s="281">
        <f t="shared" si="6"/>
        <v>41600</v>
      </c>
      <c r="M39" s="275">
        <v>77.81</v>
      </c>
      <c r="N39" s="275">
        <f t="shared" si="7"/>
        <v>40461.200000000004</v>
      </c>
      <c r="O39" s="105"/>
      <c r="P39" s="487">
        <f t="shared" si="8"/>
        <v>38905</v>
      </c>
      <c r="Q39" s="490">
        <f t="shared" si="9"/>
        <v>0.96153846153846145</v>
      </c>
      <c r="R39" s="208"/>
    </row>
    <row r="40" spans="1:18" s="2" customFormat="1" ht="36" hidden="1" customHeight="1" x14ac:dyDescent="0.2">
      <c r="A40" s="332" t="s">
        <v>218</v>
      </c>
      <c r="B40" s="333" t="s">
        <v>32</v>
      </c>
      <c r="C40" s="333" t="s">
        <v>165</v>
      </c>
      <c r="D40" s="333" t="s">
        <v>166</v>
      </c>
      <c r="E40" s="334">
        <v>0.23</v>
      </c>
      <c r="F40" s="333" t="s">
        <v>136</v>
      </c>
      <c r="G40" s="460">
        <v>43704</v>
      </c>
      <c r="H40" s="90">
        <v>237.02</v>
      </c>
      <c r="I40" s="461">
        <v>220</v>
      </c>
      <c r="J40" s="91" t="s">
        <v>11</v>
      </c>
      <c r="K40" s="239">
        <v>80</v>
      </c>
      <c r="L40" s="239">
        <f t="shared" si="6"/>
        <v>17600</v>
      </c>
      <c r="M40" s="228">
        <v>77.81</v>
      </c>
      <c r="N40" s="228">
        <f t="shared" si="7"/>
        <v>17118.2</v>
      </c>
      <c r="O40" s="105"/>
      <c r="P40" s="487">
        <f t="shared" si="8"/>
        <v>18442.5262</v>
      </c>
      <c r="Q40" s="490">
        <f t="shared" si="9"/>
        <v>1.0773636363636363</v>
      </c>
    </row>
    <row r="41" spans="1:18" ht="30" hidden="1" customHeight="1" x14ac:dyDescent="0.2">
      <c r="A41" s="332" t="s">
        <v>186</v>
      </c>
      <c r="B41" s="333" t="s">
        <v>158</v>
      </c>
      <c r="C41" s="333" t="s">
        <v>81</v>
      </c>
      <c r="D41" s="333" t="s">
        <v>159</v>
      </c>
      <c r="E41" s="334">
        <v>0.1</v>
      </c>
      <c r="F41" s="333" t="s">
        <v>160</v>
      </c>
      <c r="G41" s="411">
        <v>43668</v>
      </c>
      <c r="H41" s="90">
        <v>150.33000000000001</v>
      </c>
      <c r="I41" s="461">
        <v>142</v>
      </c>
      <c r="J41" s="97" t="s">
        <v>11</v>
      </c>
      <c r="K41" s="239">
        <v>100</v>
      </c>
      <c r="L41" s="239">
        <f t="shared" si="6"/>
        <v>14200</v>
      </c>
      <c r="M41" s="228">
        <v>85.61</v>
      </c>
      <c r="N41" s="228">
        <f t="shared" si="7"/>
        <v>12156.62</v>
      </c>
      <c r="O41" s="105"/>
      <c r="P41" s="487">
        <f t="shared" si="8"/>
        <v>12869.751300000002</v>
      </c>
      <c r="Q41" s="490">
        <f t="shared" si="9"/>
        <v>1.058661971830986</v>
      </c>
    </row>
    <row r="42" spans="1:18" ht="30" hidden="1" customHeight="1" thickBot="1" x14ac:dyDescent="0.25">
      <c r="A42" s="332" t="s">
        <v>185</v>
      </c>
      <c r="B42" s="333" t="s">
        <v>158</v>
      </c>
      <c r="C42" s="333" t="s">
        <v>161</v>
      </c>
      <c r="D42" s="333" t="s">
        <v>162</v>
      </c>
      <c r="E42" s="334">
        <v>0.1</v>
      </c>
      <c r="F42" s="333" t="s">
        <v>37</v>
      </c>
      <c r="G42" s="460">
        <v>43705</v>
      </c>
      <c r="H42" s="90">
        <v>27</v>
      </c>
      <c r="I42" s="462">
        <v>30</v>
      </c>
      <c r="J42" s="237" t="s">
        <v>11</v>
      </c>
      <c r="K42" s="241">
        <v>200</v>
      </c>
      <c r="L42" s="241">
        <f t="shared" si="6"/>
        <v>6000</v>
      </c>
      <c r="M42" s="257">
        <v>135</v>
      </c>
      <c r="N42" s="257">
        <f t="shared" si="7"/>
        <v>4050</v>
      </c>
      <c r="O42" s="105"/>
      <c r="P42" s="487">
        <f t="shared" si="8"/>
        <v>3645</v>
      </c>
      <c r="Q42" s="491">
        <f t="shared" si="9"/>
        <v>0.9</v>
      </c>
    </row>
    <row r="43" spans="1:18" ht="30" hidden="1" customHeight="1" thickBot="1" x14ac:dyDescent="0.3">
      <c r="A43" s="28"/>
      <c r="B43" s="21"/>
      <c r="C43" s="21"/>
      <c r="D43" s="21"/>
      <c r="E43" s="22"/>
      <c r="F43" s="82"/>
      <c r="G43" s="82"/>
      <c r="H43" s="472">
        <f>SUM(H37:H42)</f>
        <v>1209.29</v>
      </c>
      <c r="I43" s="441">
        <f>SUM(I37:I42)</f>
        <v>1150</v>
      </c>
      <c r="J43" s="262" t="s">
        <v>11</v>
      </c>
      <c r="K43" s="258" t="s">
        <v>177</v>
      </c>
      <c r="L43" s="258">
        <f>SUM(L37:L42)</f>
        <v>103200</v>
      </c>
      <c r="M43" s="258" t="s">
        <v>177</v>
      </c>
      <c r="N43" s="258">
        <f>SUM(N37:N42)</f>
        <v>95294.92</v>
      </c>
      <c r="O43" s="105"/>
      <c r="P43" s="258">
        <f>SUM(P37:P42)</f>
        <v>100574.40239999999</v>
      </c>
      <c r="Q43" s="492">
        <f t="shared" si="9"/>
        <v>1.0554015093354399</v>
      </c>
    </row>
    <row r="44" spans="1:18" ht="30" hidden="1" customHeight="1" thickBot="1" x14ac:dyDescent="0.3">
      <c r="A44" s="321" t="s">
        <v>106</v>
      </c>
      <c r="B44" s="322" t="s">
        <v>187</v>
      </c>
      <c r="C44" s="323"/>
      <c r="D44" s="323"/>
      <c r="E44" s="22"/>
      <c r="F44" s="82"/>
      <c r="G44" s="82"/>
      <c r="H44" s="82"/>
      <c r="I44" s="60"/>
      <c r="J44" s="80"/>
      <c r="K44" s="80"/>
      <c r="L44" s="80"/>
      <c r="M44" s="218"/>
      <c r="N44" s="218"/>
      <c r="O44" s="105"/>
    </row>
    <row r="45" spans="1:18" ht="30" hidden="1" customHeight="1" thickBot="1" x14ac:dyDescent="0.4">
      <c r="A45" s="28"/>
      <c r="B45" s="21"/>
      <c r="C45" s="21"/>
      <c r="D45" s="2"/>
      <c r="E45" s="2"/>
      <c r="F45" s="131" t="s">
        <v>47</v>
      </c>
      <c r="G45" s="121"/>
      <c r="H45" s="121"/>
      <c r="I45" s="122" t="s">
        <v>8</v>
      </c>
      <c r="J45" s="122" t="s">
        <v>3</v>
      </c>
      <c r="K45" s="270" t="s">
        <v>3</v>
      </c>
      <c r="L45" s="124" t="s">
        <v>4</v>
      </c>
      <c r="M45" s="282" t="s">
        <v>3</v>
      </c>
      <c r="N45" s="283" t="s">
        <v>4</v>
      </c>
      <c r="O45" s="105"/>
    </row>
    <row r="46" spans="1:18" ht="30" hidden="1" customHeight="1" thickTop="1" x14ac:dyDescent="0.25">
      <c r="A46" s="28"/>
      <c r="B46" s="849" t="s">
        <v>48</v>
      </c>
      <c r="C46" s="850"/>
      <c r="D46" s="851"/>
      <c r="E46" s="2"/>
      <c r="F46" s="134" t="s">
        <v>61</v>
      </c>
      <c r="G46" s="136"/>
      <c r="H46" s="136"/>
      <c r="I46" s="139">
        <v>3500</v>
      </c>
      <c r="J46" s="91" t="s">
        <v>9</v>
      </c>
      <c r="K46" s="239">
        <v>2.5</v>
      </c>
      <c r="L46" s="272">
        <f t="shared" ref="L46:L51" si="10">+K46*I46</f>
        <v>8750</v>
      </c>
      <c r="M46" s="275">
        <v>2.0499999999999998</v>
      </c>
      <c r="N46" s="275">
        <f t="shared" ref="N46:N51" si="11">+M46*I46</f>
        <v>7174.9999999999991</v>
      </c>
      <c r="O46" s="105"/>
    </row>
    <row r="47" spans="1:18" ht="30" hidden="1" customHeight="1" thickBot="1" x14ac:dyDescent="0.3">
      <c r="A47" s="28"/>
      <c r="B47" s="846" t="s">
        <v>49</v>
      </c>
      <c r="C47" s="847"/>
      <c r="D47" s="848"/>
      <c r="E47" s="2"/>
      <c r="F47" s="134" t="s">
        <v>62</v>
      </c>
      <c r="G47" s="136"/>
      <c r="H47" s="136"/>
      <c r="I47" s="139">
        <v>7500</v>
      </c>
      <c r="J47" s="91" t="s">
        <v>9</v>
      </c>
      <c r="K47" s="239">
        <v>1.5</v>
      </c>
      <c r="L47" s="272">
        <f t="shared" si="10"/>
        <v>11250</v>
      </c>
      <c r="M47" s="228">
        <v>1.55</v>
      </c>
      <c r="N47" s="228">
        <f t="shared" si="11"/>
        <v>11625</v>
      </c>
      <c r="O47" s="105"/>
    </row>
    <row r="48" spans="1:18" ht="30" hidden="1" customHeight="1" thickTop="1" thickBot="1" x14ac:dyDescent="0.3">
      <c r="A48" s="28"/>
      <c r="B48" s="844"/>
      <c r="C48" s="845"/>
      <c r="D48" s="79"/>
      <c r="E48" s="2"/>
      <c r="F48" s="134" t="s">
        <v>10</v>
      </c>
      <c r="G48" s="136"/>
      <c r="H48" s="136"/>
      <c r="I48" s="139">
        <v>25</v>
      </c>
      <c r="J48" s="91" t="s">
        <v>11</v>
      </c>
      <c r="K48" s="239">
        <v>200</v>
      </c>
      <c r="L48" s="272">
        <f t="shared" si="10"/>
        <v>5000</v>
      </c>
      <c r="M48" s="228">
        <v>190</v>
      </c>
      <c r="N48" s="228">
        <f t="shared" si="11"/>
        <v>4750</v>
      </c>
      <c r="O48" s="105"/>
    </row>
    <row r="49" spans="1:18" ht="30" hidden="1" customHeight="1" thickBot="1" x14ac:dyDescent="0.4">
      <c r="A49" s="28"/>
      <c r="B49" s="75"/>
      <c r="C49" s="75"/>
      <c r="D49" s="137" t="s">
        <v>76</v>
      </c>
      <c r="E49" s="87"/>
      <c r="F49" s="136" t="s">
        <v>12</v>
      </c>
      <c r="G49" s="136"/>
      <c r="H49" s="136"/>
      <c r="I49" s="139">
        <v>75</v>
      </c>
      <c r="J49" s="91" t="s">
        <v>11</v>
      </c>
      <c r="K49" s="239">
        <v>150</v>
      </c>
      <c r="L49" s="272">
        <f t="shared" si="10"/>
        <v>11250</v>
      </c>
      <c r="M49" s="228">
        <v>140</v>
      </c>
      <c r="N49" s="228">
        <f t="shared" si="11"/>
        <v>10500</v>
      </c>
      <c r="O49" s="105"/>
    </row>
    <row r="50" spans="1:18" ht="30" hidden="1" customHeight="1" x14ac:dyDescent="0.25">
      <c r="A50" s="28"/>
      <c r="B50" s="21"/>
      <c r="C50" s="21"/>
      <c r="D50" s="78"/>
      <c r="E50" s="2"/>
      <c r="F50" s="134" t="s">
        <v>13</v>
      </c>
      <c r="G50" s="136"/>
      <c r="H50" s="136"/>
      <c r="I50" s="139">
        <v>150</v>
      </c>
      <c r="J50" s="91" t="s">
        <v>11</v>
      </c>
      <c r="K50" s="239">
        <v>100</v>
      </c>
      <c r="L50" s="272">
        <f t="shared" si="10"/>
        <v>15000</v>
      </c>
      <c r="M50" s="228">
        <v>95</v>
      </c>
      <c r="N50" s="228">
        <f t="shared" si="11"/>
        <v>14250</v>
      </c>
      <c r="O50" s="105"/>
    </row>
    <row r="51" spans="1:18" ht="30" hidden="1" customHeight="1" thickBot="1" x14ac:dyDescent="0.3">
      <c r="A51" s="856" t="s">
        <v>210</v>
      </c>
      <c r="B51" s="855"/>
      <c r="C51" s="855"/>
      <c r="D51" s="855"/>
      <c r="E51" s="855"/>
      <c r="F51" s="135" t="s">
        <v>19</v>
      </c>
      <c r="G51" s="405"/>
      <c r="H51" s="405"/>
      <c r="I51" s="140">
        <v>250</v>
      </c>
      <c r="J51" s="142" t="s">
        <v>11</v>
      </c>
      <c r="K51" s="241">
        <v>80</v>
      </c>
      <c r="L51" s="273">
        <f t="shared" si="10"/>
        <v>20000</v>
      </c>
      <c r="M51" s="257">
        <v>90</v>
      </c>
      <c r="N51" s="257">
        <f t="shared" si="11"/>
        <v>22500</v>
      </c>
      <c r="O51" s="105"/>
    </row>
    <row r="52" spans="1:18" ht="30" hidden="1" customHeight="1" thickBot="1" x14ac:dyDescent="0.3">
      <c r="A52" s="856" t="s">
        <v>211</v>
      </c>
      <c r="B52" s="855"/>
      <c r="C52" s="855"/>
      <c r="D52" s="855"/>
      <c r="E52" s="855"/>
      <c r="F52" s="86"/>
      <c r="G52" s="86"/>
      <c r="H52" s="86"/>
      <c r="I52" s="225"/>
      <c r="J52" s="226"/>
      <c r="K52" s="258" t="s">
        <v>177</v>
      </c>
      <c r="L52" s="258">
        <f>SUM(L46:L51)</f>
        <v>71250</v>
      </c>
      <c r="M52" s="258" t="s">
        <v>177</v>
      </c>
      <c r="N52" s="258">
        <f>SUM(N46:N51)</f>
        <v>70800</v>
      </c>
      <c r="O52" s="105"/>
    </row>
    <row r="53" spans="1:18" ht="9.9499999999999993" hidden="1" customHeight="1" x14ac:dyDescent="0.25">
      <c r="A53" s="81"/>
      <c r="B53" s="82"/>
      <c r="C53" s="82"/>
      <c r="D53" s="82"/>
      <c r="E53" s="83"/>
      <c r="F53" s="82"/>
      <c r="G53" s="82"/>
      <c r="H53" s="82"/>
      <c r="I53" s="60"/>
      <c r="J53" s="80"/>
      <c r="K53" s="80"/>
      <c r="L53" s="80"/>
      <c r="M53" s="218"/>
      <c r="N53" s="218"/>
      <c r="O53" s="111"/>
    </row>
    <row r="54" spans="1:18" ht="9.9499999999999993" hidden="1" customHeight="1" x14ac:dyDescent="0.25">
      <c r="A54" s="34"/>
      <c r="B54" s="44"/>
      <c r="C54" s="44"/>
      <c r="D54" s="44"/>
      <c r="E54" s="56"/>
      <c r="F54" s="44"/>
      <c r="G54" s="44"/>
      <c r="H54" s="44"/>
      <c r="I54" s="57"/>
      <c r="J54" s="47"/>
      <c r="K54" s="47"/>
      <c r="L54" s="44"/>
      <c r="M54" s="221"/>
      <c r="N54" s="221"/>
      <c r="O54" s="105"/>
    </row>
    <row r="55" spans="1:18" ht="35.1" hidden="1" customHeight="1" x14ac:dyDescent="0.5">
      <c r="A55" s="43" t="s">
        <v>54</v>
      </c>
      <c r="B55" s="82"/>
      <c r="C55" s="82"/>
      <c r="D55" s="82"/>
      <c r="E55" s="83"/>
      <c r="F55" s="396" t="str">
        <f>+F2</f>
        <v>UPDATED 11/11/2019</v>
      </c>
      <c r="G55" s="396"/>
      <c r="H55" s="396"/>
      <c r="I55" s="60"/>
      <c r="J55" s="80"/>
      <c r="K55" s="80"/>
      <c r="L55" s="82"/>
      <c r="M55" s="222"/>
      <c r="N55" s="222"/>
      <c r="O55" s="105"/>
    </row>
    <row r="56" spans="1:18" ht="9.9499999999999993" hidden="1" customHeight="1" x14ac:dyDescent="0.5">
      <c r="A56" s="70"/>
      <c r="B56" s="45"/>
      <c r="C56" s="45"/>
      <c r="D56" s="45"/>
      <c r="E56" s="66"/>
      <c r="F56" s="45"/>
      <c r="G56" s="45"/>
      <c r="H56" s="45"/>
      <c r="I56" s="67"/>
      <c r="J56" s="46"/>
      <c r="K56" s="46"/>
      <c r="L56" s="45"/>
      <c r="M56" s="221"/>
      <c r="N56" s="221"/>
      <c r="O56" s="105"/>
    </row>
    <row r="57" spans="1:18" ht="35.1" hidden="1" customHeight="1" thickBot="1" x14ac:dyDescent="0.45">
      <c r="A57" s="852" t="s">
        <v>44</v>
      </c>
      <c r="B57" s="852"/>
      <c r="C57" s="852"/>
      <c r="D57" s="853"/>
      <c r="E57" s="853"/>
      <c r="F57" s="853"/>
      <c r="G57" s="853"/>
      <c r="H57" s="853"/>
      <c r="I57" s="853"/>
      <c r="J57" s="853"/>
      <c r="K57" s="55"/>
      <c r="L57" s="55"/>
      <c r="M57" s="220"/>
      <c r="N57" s="220"/>
      <c r="O57" s="105"/>
    </row>
    <row r="58" spans="1:18" ht="35.1" hidden="1" customHeight="1" thickBot="1" x14ac:dyDescent="0.45">
      <c r="A58" s="38"/>
      <c r="B58" s="38"/>
      <c r="C58" s="38"/>
      <c r="E58" s="37" t="s">
        <v>24</v>
      </c>
      <c r="G58" s="409"/>
      <c r="H58" s="407" t="s">
        <v>236</v>
      </c>
      <c r="I58" s="407" t="s">
        <v>235</v>
      </c>
      <c r="J58" s="409"/>
      <c r="K58" s="268" t="s">
        <v>189</v>
      </c>
      <c r="L58" s="286"/>
      <c r="M58" s="268" t="s">
        <v>176</v>
      </c>
      <c r="N58" s="269"/>
      <c r="O58" s="105"/>
      <c r="P58" s="486" t="s">
        <v>236</v>
      </c>
      <c r="Q58" s="486" t="s">
        <v>236</v>
      </c>
    </row>
    <row r="59" spans="1:18" ht="24.95" hidden="1" customHeight="1" thickBot="1" x14ac:dyDescent="0.4">
      <c r="A59" s="37" t="s">
        <v>7</v>
      </c>
      <c r="B59" s="75" t="s">
        <v>0</v>
      </c>
      <c r="C59" s="75" t="s">
        <v>1</v>
      </c>
      <c r="D59" s="75" t="s">
        <v>6</v>
      </c>
      <c r="E59" s="37" t="s">
        <v>25</v>
      </c>
      <c r="F59" s="75" t="s">
        <v>2</v>
      </c>
      <c r="G59" s="418" t="s">
        <v>238</v>
      </c>
      <c r="H59" s="418" t="s">
        <v>237</v>
      </c>
      <c r="I59" s="408" t="s">
        <v>16</v>
      </c>
      <c r="J59" s="410" t="s">
        <v>8</v>
      </c>
      <c r="K59" s="279" t="s">
        <v>3</v>
      </c>
      <c r="L59" s="280" t="s">
        <v>4</v>
      </c>
      <c r="M59" s="276" t="s">
        <v>3</v>
      </c>
      <c r="N59" s="277" t="s">
        <v>4</v>
      </c>
      <c r="O59" s="105"/>
      <c r="P59" s="486" t="s">
        <v>4</v>
      </c>
      <c r="Q59" s="500" t="s">
        <v>252</v>
      </c>
    </row>
    <row r="60" spans="1:18" ht="24.95" hidden="1" customHeight="1" thickBot="1" x14ac:dyDescent="0.3">
      <c r="A60" s="190">
        <v>122</v>
      </c>
      <c r="B60" s="184" t="s">
        <v>20</v>
      </c>
      <c r="C60" s="184" t="s">
        <v>153</v>
      </c>
      <c r="D60" s="184" t="s">
        <v>154</v>
      </c>
      <c r="E60" s="185">
        <v>0.98</v>
      </c>
      <c r="F60" s="184" t="s">
        <v>136</v>
      </c>
      <c r="G60" s="424">
        <v>43642</v>
      </c>
      <c r="H60" s="190">
        <v>1188.75</v>
      </c>
      <c r="I60" s="191">
        <v>1045</v>
      </c>
      <c r="J60" s="186" t="s">
        <v>11</v>
      </c>
      <c r="K60" s="263">
        <v>65</v>
      </c>
      <c r="L60" s="285">
        <f>+K60*I60</f>
        <v>67925</v>
      </c>
      <c r="M60" s="275">
        <v>66.42</v>
      </c>
      <c r="N60" s="275">
        <f>+M60*I60</f>
        <v>69408.900000000009</v>
      </c>
      <c r="O60" s="105"/>
      <c r="P60" s="487">
        <f>+M60*H60</f>
        <v>78956.775000000009</v>
      </c>
      <c r="Q60" s="490">
        <f>+P60/N60</f>
        <v>1.1375598086124401</v>
      </c>
      <c r="R60" s="208"/>
    </row>
    <row r="61" spans="1:18" ht="24.95" hidden="1" customHeight="1" x14ac:dyDescent="0.2">
      <c r="A61" s="437">
        <v>124</v>
      </c>
      <c r="B61" s="438" t="s">
        <v>20</v>
      </c>
      <c r="C61" s="438" t="s">
        <v>153</v>
      </c>
      <c r="D61" s="438" t="s">
        <v>155</v>
      </c>
      <c r="E61" s="439">
        <v>0.08</v>
      </c>
      <c r="F61" s="438" t="s">
        <v>156</v>
      </c>
      <c r="G61" s="435">
        <v>43665</v>
      </c>
      <c r="H61" s="152">
        <v>135.19999999999999</v>
      </c>
      <c r="I61" s="436">
        <v>120</v>
      </c>
      <c r="J61" s="154" t="s">
        <v>11</v>
      </c>
      <c r="K61" s="243">
        <v>100</v>
      </c>
      <c r="L61" s="242">
        <f>+K61*I61</f>
        <v>12000</v>
      </c>
      <c r="M61" s="228">
        <v>66.42</v>
      </c>
      <c r="N61" s="228">
        <f>+M61*I61</f>
        <v>7970.4000000000005</v>
      </c>
      <c r="O61" s="105"/>
      <c r="P61" s="487">
        <f>+M61*H61</f>
        <v>8979.9840000000004</v>
      </c>
      <c r="Q61" s="490">
        <f>+P61/N61</f>
        <v>1.1266666666666667</v>
      </c>
    </row>
    <row r="62" spans="1:18" ht="24.95" hidden="1" customHeight="1" thickBot="1" x14ac:dyDescent="0.25">
      <c r="A62" s="172"/>
      <c r="B62" s="173"/>
      <c r="C62" s="173"/>
      <c r="D62" s="173"/>
      <c r="E62" s="174"/>
      <c r="F62" s="128" t="s">
        <v>150</v>
      </c>
      <c r="G62" s="425"/>
      <c r="H62" s="425"/>
      <c r="I62" s="204"/>
      <c r="J62" s="189"/>
      <c r="K62" s="245"/>
      <c r="L62" s="245"/>
      <c r="M62" s="228"/>
      <c r="N62" s="228"/>
      <c r="O62" s="105"/>
    </row>
    <row r="63" spans="1:18" ht="30" hidden="1" customHeight="1" thickBot="1" x14ac:dyDescent="0.25">
      <c r="A63" s="198">
        <v>121</v>
      </c>
      <c r="B63" s="199" t="s">
        <v>20</v>
      </c>
      <c r="C63" s="199" t="s">
        <v>134</v>
      </c>
      <c r="D63" s="199" t="s">
        <v>135</v>
      </c>
      <c r="E63" s="200">
        <v>0.99</v>
      </c>
      <c r="F63" s="199" t="s">
        <v>136</v>
      </c>
      <c r="G63" s="423" t="s">
        <v>243</v>
      </c>
      <c r="H63" s="198">
        <f>315.95+786</f>
        <v>1101.95</v>
      </c>
      <c r="I63" s="201">
        <v>1100</v>
      </c>
      <c r="J63" s="202" t="s">
        <v>11</v>
      </c>
      <c r="K63" s="263">
        <v>65</v>
      </c>
      <c r="L63" s="242">
        <f>+K63*I63</f>
        <v>71500</v>
      </c>
      <c r="M63" s="228">
        <v>64.69</v>
      </c>
      <c r="N63" s="228">
        <f>+M63*I63</f>
        <v>71159</v>
      </c>
      <c r="O63" s="105"/>
      <c r="P63" s="487">
        <f>+M63*H63</f>
        <v>71285.145499999999</v>
      </c>
      <c r="Q63" s="490">
        <f>+P63/N63</f>
        <v>1.0017727272727273</v>
      </c>
    </row>
    <row r="64" spans="1:18" ht="30" hidden="1" customHeight="1" x14ac:dyDescent="0.2">
      <c r="A64" s="379" t="s">
        <v>30</v>
      </c>
      <c r="B64" s="353" t="s">
        <v>20</v>
      </c>
      <c r="C64" s="353" t="s">
        <v>137</v>
      </c>
      <c r="D64" s="353" t="s">
        <v>138</v>
      </c>
      <c r="E64" s="354">
        <v>0.01</v>
      </c>
      <c r="F64" s="353" t="s">
        <v>34</v>
      </c>
      <c r="G64" s="426"/>
      <c r="H64" s="426"/>
      <c r="I64" s="355">
        <v>200</v>
      </c>
      <c r="J64" s="355" t="s">
        <v>11</v>
      </c>
      <c r="K64" s="356">
        <v>100</v>
      </c>
      <c r="L64" s="357">
        <f>+K64*I64</f>
        <v>20000</v>
      </c>
      <c r="M64" s="358">
        <v>83.02</v>
      </c>
      <c r="N64" s="358">
        <f>+M64*I64</f>
        <v>16604</v>
      </c>
      <c r="O64" s="105"/>
    </row>
    <row r="65" spans="1:17" ht="30" hidden="1" customHeight="1" thickBot="1" x14ac:dyDescent="0.25">
      <c r="A65" s="172"/>
      <c r="B65" s="173"/>
      <c r="C65" s="173"/>
      <c r="D65" s="173"/>
      <c r="E65" s="174"/>
      <c r="F65" s="128" t="s">
        <v>150</v>
      </c>
      <c r="G65" s="425"/>
      <c r="H65" s="425"/>
      <c r="I65" s="188"/>
      <c r="J65" s="189"/>
      <c r="K65" s="245"/>
      <c r="L65" s="245"/>
      <c r="M65" s="228"/>
      <c r="N65" s="228"/>
      <c r="O65" s="105"/>
    </row>
    <row r="66" spans="1:17" ht="36" hidden="1" customHeight="1" x14ac:dyDescent="0.2">
      <c r="A66" s="324">
        <v>113</v>
      </c>
      <c r="B66" s="89" t="s">
        <v>31</v>
      </c>
      <c r="C66" s="89" t="s">
        <v>134</v>
      </c>
      <c r="D66" s="89" t="s">
        <v>202</v>
      </c>
      <c r="E66" s="90">
        <v>0.54</v>
      </c>
      <c r="F66" s="89" t="s">
        <v>136</v>
      </c>
      <c r="G66" s="411">
        <v>43619</v>
      </c>
      <c r="H66" s="99">
        <v>570</v>
      </c>
      <c r="I66" s="91">
        <v>570</v>
      </c>
      <c r="J66" s="91" t="s">
        <v>11</v>
      </c>
      <c r="K66" s="239">
        <v>70</v>
      </c>
      <c r="L66" s="242">
        <f>+K66*I66</f>
        <v>39900</v>
      </c>
      <c r="M66" s="228">
        <v>64.69</v>
      </c>
      <c r="N66" s="228">
        <f>+M66*I66</f>
        <v>36873.299999999996</v>
      </c>
      <c r="O66" s="105"/>
      <c r="P66" s="487">
        <f>+M66*H66</f>
        <v>36873.299999999996</v>
      </c>
      <c r="Q66" s="490">
        <f>+P66/N66</f>
        <v>1</v>
      </c>
    </row>
    <row r="67" spans="1:17" ht="36" hidden="1" customHeight="1" x14ac:dyDescent="0.2">
      <c r="A67" s="400" t="s">
        <v>30</v>
      </c>
      <c r="B67" s="401" t="s">
        <v>31</v>
      </c>
      <c r="C67" s="401" t="s">
        <v>139</v>
      </c>
      <c r="D67" s="401" t="s">
        <v>140</v>
      </c>
      <c r="E67" s="402">
        <v>1</v>
      </c>
      <c r="F67" s="401" t="s">
        <v>37</v>
      </c>
      <c r="G67" s="427"/>
      <c r="H67" s="427"/>
      <c r="I67" s="362">
        <v>290</v>
      </c>
      <c r="J67" s="362" t="s">
        <v>11</v>
      </c>
      <c r="K67" s="363">
        <v>80</v>
      </c>
      <c r="L67" s="357">
        <f>+K67*I67</f>
        <v>23200</v>
      </c>
      <c r="M67" s="364">
        <v>75.81</v>
      </c>
      <c r="N67" s="364">
        <f>+M67*I67</f>
        <v>21984.9</v>
      </c>
      <c r="O67" s="105"/>
    </row>
    <row r="68" spans="1:17" ht="36" hidden="1" customHeight="1" thickBot="1" x14ac:dyDescent="0.25">
      <c r="A68" s="324">
        <v>127</v>
      </c>
      <c r="B68" s="333" t="s">
        <v>20</v>
      </c>
      <c r="C68" s="333" t="s">
        <v>232</v>
      </c>
      <c r="D68" s="333" t="s">
        <v>233</v>
      </c>
      <c r="E68" s="334">
        <v>0.04</v>
      </c>
      <c r="F68" s="333" t="s">
        <v>234</v>
      </c>
      <c r="G68" s="411">
        <v>43665</v>
      </c>
      <c r="H68" s="99">
        <v>54.28</v>
      </c>
      <c r="I68" s="443">
        <v>55</v>
      </c>
      <c r="J68" s="91" t="s">
        <v>11</v>
      </c>
      <c r="K68" s="239">
        <v>150</v>
      </c>
      <c r="L68" s="239">
        <f>+K68*I68</f>
        <v>8250</v>
      </c>
      <c r="M68" s="228">
        <v>140</v>
      </c>
      <c r="N68" s="228">
        <f>+M68*I68</f>
        <v>7700</v>
      </c>
      <c r="O68" s="105"/>
      <c r="P68" s="494">
        <f>+M68*H68</f>
        <v>7599.2</v>
      </c>
      <c r="Q68" s="491">
        <f>+P68/N68</f>
        <v>0.98690909090909085</v>
      </c>
    </row>
    <row r="69" spans="1:17" ht="36" hidden="1" customHeight="1" thickBot="1" x14ac:dyDescent="0.25">
      <c r="A69" s="229"/>
      <c r="B69" s="230"/>
      <c r="C69" s="230"/>
      <c r="D69" s="230"/>
      <c r="E69" s="231"/>
      <c r="F69" s="329"/>
      <c r="G69" s="329"/>
      <c r="H69" s="473">
        <f>SUM(H60:H68)</f>
        <v>3050.1800000000003</v>
      </c>
      <c r="I69" s="442">
        <f>+I60+I61+I63+I66+I68</f>
        <v>2890</v>
      </c>
      <c r="J69" s="397" t="s">
        <v>11</v>
      </c>
      <c r="K69" s="398" t="s">
        <v>177</v>
      </c>
      <c r="L69" s="403">
        <f>+L61+L63+L66+L68</f>
        <v>131650</v>
      </c>
      <c r="M69" s="398" t="s">
        <v>177</v>
      </c>
      <c r="N69" s="403">
        <f>+N61+N63+N66+N68</f>
        <v>123702.69999999998</v>
      </c>
      <c r="O69" s="105"/>
      <c r="P69" s="310">
        <f>+P61+P63+P66+P68</f>
        <v>124737.6295</v>
      </c>
      <c r="Q69" s="495">
        <f>+P69/N69</f>
        <v>1.0083662644388522</v>
      </c>
    </row>
    <row r="70" spans="1:17" ht="30" hidden="1" customHeight="1" thickBot="1" x14ac:dyDescent="0.3">
      <c r="A70" s="321" t="s">
        <v>106</v>
      </c>
      <c r="B70" s="322" t="s">
        <v>187</v>
      </c>
      <c r="C70" s="323"/>
      <c r="D70" s="323"/>
      <c r="E70" s="22"/>
      <c r="F70" s="82"/>
      <c r="G70" s="82"/>
      <c r="H70" s="82"/>
      <c r="I70" s="80"/>
      <c r="J70" s="80"/>
      <c r="K70" s="80"/>
      <c r="L70" s="80"/>
      <c r="M70" s="218"/>
      <c r="N70" s="218"/>
      <c r="O70" s="105"/>
    </row>
    <row r="71" spans="1:17" ht="30" hidden="1" customHeight="1" thickBot="1" x14ac:dyDescent="0.4">
      <c r="A71" s="28"/>
      <c r="B71" s="21"/>
      <c r="C71" s="21"/>
      <c r="D71" s="2"/>
      <c r="E71" s="2"/>
      <c r="F71" s="131" t="s">
        <v>47</v>
      </c>
      <c r="G71" s="121"/>
      <c r="H71" s="121"/>
      <c r="I71" s="122" t="s">
        <v>8</v>
      </c>
      <c r="J71" s="122" t="s">
        <v>3</v>
      </c>
      <c r="K71" s="270" t="s">
        <v>3</v>
      </c>
      <c r="L71" s="124" t="s">
        <v>4</v>
      </c>
      <c r="M71" s="282" t="s">
        <v>3</v>
      </c>
      <c r="N71" s="283" t="s">
        <v>4</v>
      </c>
      <c r="O71" s="105"/>
    </row>
    <row r="72" spans="1:17" ht="30" hidden="1" customHeight="1" thickTop="1" x14ac:dyDescent="0.25">
      <c r="A72" s="28"/>
      <c r="B72" s="849" t="s">
        <v>48</v>
      </c>
      <c r="C72" s="850"/>
      <c r="D72" s="851"/>
      <c r="E72" s="2"/>
      <c r="F72" s="134" t="s">
        <v>61</v>
      </c>
      <c r="G72" s="136"/>
      <c r="H72" s="136"/>
      <c r="I72" s="139">
        <v>3500</v>
      </c>
      <c r="J72" s="91" t="s">
        <v>9</v>
      </c>
      <c r="K72" s="239">
        <v>2.5</v>
      </c>
      <c r="L72" s="272">
        <f t="shared" ref="L72:L77" si="12">+K72*I72</f>
        <v>8750</v>
      </c>
      <c r="M72" s="275">
        <v>2.0499999999999998</v>
      </c>
      <c r="N72" s="275">
        <f t="shared" ref="N72:N77" si="13">+M72*I72</f>
        <v>7174.9999999999991</v>
      </c>
      <c r="O72" s="105"/>
    </row>
    <row r="73" spans="1:17" ht="30" hidden="1" customHeight="1" thickBot="1" x14ac:dyDescent="0.3">
      <c r="A73" s="28"/>
      <c r="B73" s="846" t="s">
        <v>49</v>
      </c>
      <c r="C73" s="847"/>
      <c r="D73" s="848"/>
      <c r="E73" s="2"/>
      <c r="F73" s="134" t="s">
        <v>62</v>
      </c>
      <c r="G73" s="136"/>
      <c r="H73" s="136"/>
      <c r="I73" s="139">
        <v>7500</v>
      </c>
      <c r="J73" s="91" t="s">
        <v>9</v>
      </c>
      <c r="K73" s="239">
        <v>1.5</v>
      </c>
      <c r="L73" s="272">
        <f t="shared" si="12"/>
        <v>11250</v>
      </c>
      <c r="M73" s="228">
        <v>1.55</v>
      </c>
      <c r="N73" s="228">
        <f t="shared" si="13"/>
        <v>11625</v>
      </c>
      <c r="O73" s="105"/>
    </row>
    <row r="74" spans="1:17" ht="30" hidden="1" customHeight="1" thickTop="1" thickBot="1" x14ac:dyDescent="0.3">
      <c r="A74" s="28"/>
      <c r="B74" s="844"/>
      <c r="C74" s="845"/>
      <c r="D74" s="79"/>
      <c r="E74" s="2"/>
      <c r="F74" s="134" t="s">
        <v>10</v>
      </c>
      <c r="G74" s="136"/>
      <c r="H74" s="136"/>
      <c r="I74" s="139">
        <v>25</v>
      </c>
      <c r="J74" s="91" t="s">
        <v>11</v>
      </c>
      <c r="K74" s="239">
        <v>200</v>
      </c>
      <c r="L74" s="272">
        <f t="shared" si="12"/>
        <v>5000</v>
      </c>
      <c r="M74" s="228">
        <v>190</v>
      </c>
      <c r="N74" s="228">
        <f t="shared" si="13"/>
        <v>4750</v>
      </c>
      <c r="O74" s="105"/>
    </row>
    <row r="75" spans="1:17" ht="30" hidden="1" customHeight="1" thickBot="1" x14ac:dyDescent="0.4">
      <c r="A75" s="28"/>
      <c r="B75" s="75"/>
      <c r="C75" s="75"/>
      <c r="D75" s="137" t="s">
        <v>76</v>
      </c>
      <c r="E75" s="87"/>
      <c r="F75" s="136" t="s">
        <v>12</v>
      </c>
      <c r="G75" s="136"/>
      <c r="H75" s="136"/>
      <c r="I75" s="139">
        <v>75</v>
      </c>
      <c r="J75" s="91" t="s">
        <v>11</v>
      </c>
      <c r="K75" s="239">
        <v>150</v>
      </c>
      <c r="L75" s="272">
        <f t="shared" si="12"/>
        <v>11250</v>
      </c>
      <c r="M75" s="228">
        <v>140</v>
      </c>
      <c r="N75" s="228">
        <f t="shared" si="13"/>
        <v>10500</v>
      </c>
      <c r="O75" s="105"/>
    </row>
    <row r="76" spans="1:17" ht="30" hidden="1" customHeight="1" x14ac:dyDescent="0.25">
      <c r="A76" s="28"/>
      <c r="B76" s="21"/>
      <c r="C76" s="21"/>
      <c r="D76" s="78"/>
      <c r="E76" s="2"/>
      <c r="F76" s="134" t="s">
        <v>13</v>
      </c>
      <c r="G76" s="136"/>
      <c r="H76" s="136"/>
      <c r="I76" s="139">
        <v>150</v>
      </c>
      <c r="J76" s="91" t="s">
        <v>11</v>
      </c>
      <c r="K76" s="239">
        <v>100</v>
      </c>
      <c r="L76" s="272">
        <f t="shared" si="12"/>
        <v>15000</v>
      </c>
      <c r="M76" s="228">
        <v>95</v>
      </c>
      <c r="N76" s="228">
        <f t="shared" si="13"/>
        <v>14250</v>
      </c>
      <c r="O76" s="105"/>
    </row>
    <row r="77" spans="1:17" ht="30" hidden="1" customHeight="1" thickBot="1" x14ac:dyDescent="0.3">
      <c r="A77" s="856" t="s">
        <v>210</v>
      </c>
      <c r="B77" s="855"/>
      <c r="C77" s="855"/>
      <c r="D77" s="855"/>
      <c r="E77" s="855"/>
      <c r="F77" s="135" t="s">
        <v>19</v>
      </c>
      <c r="G77" s="405"/>
      <c r="H77" s="405"/>
      <c r="I77" s="140">
        <v>250</v>
      </c>
      <c r="J77" s="142" t="s">
        <v>11</v>
      </c>
      <c r="K77" s="241">
        <v>80</v>
      </c>
      <c r="L77" s="273">
        <f t="shared" si="12"/>
        <v>20000</v>
      </c>
      <c r="M77" s="257">
        <v>90</v>
      </c>
      <c r="N77" s="257">
        <f t="shared" si="13"/>
        <v>22500</v>
      </c>
      <c r="O77" s="105"/>
    </row>
    <row r="78" spans="1:17" ht="30" hidden="1" customHeight="1" thickBot="1" x14ac:dyDescent="0.3">
      <c r="A78" s="856" t="s">
        <v>211</v>
      </c>
      <c r="B78" s="855"/>
      <c r="C78" s="855"/>
      <c r="D78" s="855"/>
      <c r="E78" s="855"/>
      <c r="F78" s="86"/>
      <c r="G78" s="86"/>
      <c r="H78" s="86"/>
      <c r="I78" s="225"/>
      <c r="J78" s="226"/>
      <c r="K78" s="258" t="s">
        <v>177</v>
      </c>
      <c r="L78" s="258">
        <f>SUM(L72:L77)</f>
        <v>71250</v>
      </c>
      <c r="M78" s="258" t="s">
        <v>177</v>
      </c>
      <c r="N78" s="258">
        <f>SUM(N72:N77)</f>
        <v>70800</v>
      </c>
      <c r="O78" s="105"/>
    </row>
    <row r="79" spans="1:17" ht="9.9499999999999993" customHeight="1" x14ac:dyDescent="0.25">
      <c r="A79" s="81"/>
      <c r="B79" s="82"/>
      <c r="C79" s="82"/>
      <c r="D79" s="82"/>
      <c r="E79" s="83"/>
      <c r="F79" s="82"/>
      <c r="G79" s="82"/>
      <c r="H79" s="82"/>
      <c r="I79" s="80"/>
      <c r="J79" s="80"/>
      <c r="K79" s="80"/>
      <c r="L79" s="80"/>
      <c r="M79" s="218"/>
      <c r="N79" s="218"/>
      <c r="O79" s="105"/>
    </row>
    <row r="80" spans="1:17" ht="9.9499999999999993" customHeight="1" x14ac:dyDescent="0.25">
      <c r="A80" s="34"/>
      <c r="B80" s="44"/>
      <c r="C80" s="44"/>
      <c r="D80" s="44"/>
      <c r="E80" s="56"/>
      <c r="F80" s="44"/>
      <c r="G80" s="44"/>
      <c r="H80" s="44"/>
      <c r="I80" s="57"/>
      <c r="J80" s="47"/>
      <c r="K80" s="47"/>
      <c r="L80" s="44"/>
      <c r="M80" s="221"/>
      <c r="N80" s="221"/>
      <c r="O80" s="105"/>
    </row>
    <row r="81" spans="1:18" ht="35.1" customHeight="1" x14ac:dyDescent="0.5">
      <c r="A81" s="43" t="s">
        <v>54</v>
      </c>
      <c r="B81" s="82"/>
      <c r="C81" s="82"/>
      <c r="D81" s="82"/>
      <c r="E81" s="83"/>
      <c r="F81" s="396" t="str">
        <f>+F2</f>
        <v>UPDATED 11/11/2019</v>
      </c>
      <c r="G81" s="396"/>
      <c r="H81" s="396"/>
      <c r="I81" s="80"/>
      <c r="J81" s="80"/>
      <c r="K81" s="80"/>
      <c r="L81" s="80"/>
      <c r="M81" s="218"/>
      <c r="N81" s="218"/>
      <c r="O81" s="105"/>
    </row>
    <row r="82" spans="1:18" ht="9.9499999999999993" customHeight="1" x14ac:dyDescent="0.25">
      <c r="A82" s="34"/>
      <c r="B82" s="44"/>
      <c r="C82" s="44"/>
      <c r="D82" s="44"/>
      <c r="E82" s="56"/>
      <c r="F82" s="44"/>
      <c r="G82" s="44"/>
      <c r="H82" s="44"/>
      <c r="I82" s="57"/>
      <c r="J82" s="47"/>
      <c r="K82" s="47"/>
      <c r="L82" s="44"/>
      <c r="M82" s="221"/>
      <c r="N82" s="221"/>
      <c r="O82" s="105"/>
    </row>
    <row r="83" spans="1:18" ht="35.1" customHeight="1" thickBot="1" x14ac:dyDescent="0.45">
      <c r="A83" s="852" t="s">
        <v>45</v>
      </c>
      <c r="B83" s="852"/>
      <c r="C83" s="852"/>
      <c r="D83" s="853"/>
      <c r="E83" s="853"/>
      <c r="F83" s="853"/>
      <c r="G83" s="853"/>
      <c r="H83" s="853"/>
      <c r="I83" s="853"/>
      <c r="J83" s="853"/>
      <c r="K83" s="55"/>
      <c r="L83" s="55"/>
      <c r="M83" s="220"/>
      <c r="N83" s="220"/>
      <c r="O83" s="105"/>
    </row>
    <row r="84" spans="1:18" ht="24.95" customHeight="1" thickBot="1" x14ac:dyDescent="0.45">
      <c r="A84" s="38"/>
      <c r="B84" s="38"/>
      <c r="C84" s="38"/>
      <c r="E84" s="37" t="s">
        <v>24</v>
      </c>
      <c r="G84" s="409"/>
      <c r="H84" s="407" t="s">
        <v>236</v>
      </c>
      <c r="I84" s="407" t="s">
        <v>235</v>
      </c>
      <c r="J84" s="409"/>
      <c r="K84" s="268" t="s">
        <v>189</v>
      </c>
      <c r="L84" s="286"/>
      <c r="M84" s="268" t="s">
        <v>176</v>
      </c>
      <c r="N84" s="269"/>
      <c r="O84" s="105"/>
      <c r="P84" s="486" t="s">
        <v>236</v>
      </c>
      <c r="Q84" s="486" t="s">
        <v>236</v>
      </c>
    </row>
    <row r="85" spans="1:18" ht="24.95" customHeight="1" thickBot="1" x14ac:dyDescent="0.4">
      <c r="A85" s="37" t="s">
        <v>7</v>
      </c>
      <c r="B85" s="75" t="s">
        <v>0</v>
      </c>
      <c r="C85" s="75" t="s">
        <v>1</v>
      </c>
      <c r="D85" s="75" t="s">
        <v>6</v>
      </c>
      <c r="E85" s="37" t="s">
        <v>25</v>
      </c>
      <c r="F85" s="75" t="s">
        <v>2</v>
      </c>
      <c r="G85" s="418" t="s">
        <v>238</v>
      </c>
      <c r="H85" s="418" t="s">
        <v>237</v>
      </c>
      <c r="I85" s="408" t="s">
        <v>16</v>
      </c>
      <c r="J85" s="410" t="s">
        <v>8</v>
      </c>
      <c r="K85" s="279" t="s">
        <v>3</v>
      </c>
      <c r="L85" s="280" t="s">
        <v>4</v>
      </c>
      <c r="M85" s="276" t="s">
        <v>3</v>
      </c>
      <c r="N85" s="277" t="s">
        <v>4</v>
      </c>
      <c r="O85" s="105"/>
      <c r="P85" s="486" t="s">
        <v>4</v>
      </c>
      <c r="Q85" s="500" t="s">
        <v>252</v>
      </c>
    </row>
    <row r="86" spans="1:18" ht="30" customHeight="1" x14ac:dyDescent="0.25">
      <c r="A86" s="332" t="s">
        <v>193</v>
      </c>
      <c r="B86" s="333" t="s">
        <v>27</v>
      </c>
      <c r="C86" s="333" t="s">
        <v>81</v>
      </c>
      <c r="D86" s="333" t="s">
        <v>141</v>
      </c>
      <c r="E86" s="334">
        <v>2.5</v>
      </c>
      <c r="F86" s="484" t="s">
        <v>142</v>
      </c>
      <c r="G86" s="411">
        <v>43675</v>
      </c>
      <c r="H86" s="99">
        <v>639.08000000000004</v>
      </c>
      <c r="I86" s="443">
        <v>652</v>
      </c>
      <c r="J86" s="97" t="s">
        <v>11</v>
      </c>
      <c r="K86" s="281">
        <v>70</v>
      </c>
      <c r="L86" s="246">
        <f>+K86*I86</f>
        <v>45640</v>
      </c>
      <c r="M86" s="523">
        <v>67.97</v>
      </c>
      <c r="N86" s="275">
        <f>+M86*I86</f>
        <v>44316.44</v>
      </c>
      <c r="O86" s="105"/>
      <c r="P86" s="487">
        <f>+M86*H86</f>
        <v>43438.267599999999</v>
      </c>
      <c r="Q86" s="490">
        <f>+P86/N86</f>
        <v>0.98018404907975454</v>
      </c>
      <c r="R86" s="208"/>
    </row>
    <row r="87" spans="1:18" ht="30" customHeight="1" x14ac:dyDescent="0.25">
      <c r="A87" s="399"/>
      <c r="B87" s="316"/>
      <c r="C87" s="316"/>
      <c r="D87" s="518" t="s">
        <v>259</v>
      </c>
      <c r="E87" s="317"/>
      <c r="F87" s="470" t="s">
        <v>247</v>
      </c>
      <c r="G87" s="424">
        <v>43714</v>
      </c>
      <c r="H87" s="90">
        <v>75</v>
      </c>
      <c r="I87" s="237"/>
      <c r="J87" s="237"/>
      <c r="K87" s="263"/>
      <c r="L87" s="246"/>
      <c r="M87" s="275"/>
      <c r="N87" s="275"/>
      <c r="O87" s="105"/>
      <c r="Q87" s="207"/>
      <c r="R87" s="208"/>
    </row>
    <row r="88" spans="1:18" ht="36" customHeight="1" thickBot="1" x14ac:dyDescent="0.25">
      <c r="A88" s="365" t="s">
        <v>195</v>
      </c>
      <c r="B88" s="350" t="s">
        <v>27</v>
      </c>
      <c r="C88" s="350" t="s">
        <v>28</v>
      </c>
      <c r="D88" s="350" t="s">
        <v>29</v>
      </c>
      <c r="E88" s="351">
        <v>0.25</v>
      </c>
      <c r="F88" s="350" t="s">
        <v>143</v>
      </c>
      <c r="G88" s="350"/>
      <c r="H88" s="350"/>
      <c r="I88" s="352">
        <v>484</v>
      </c>
      <c r="J88" s="352" t="s">
        <v>11</v>
      </c>
      <c r="K88" s="363">
        <v>80</v>
      </c>
      <c r="L88" s="366">
        <f>+K88*I88</f>
        <v>38720</v>
      </c>
      <c r="M88" s="358">
        <v>63.29</v>
      </c>
      <c r="N88" s="358">
        <f>+M88*I88</f>
        <v>30632.36</v>
      </c>
      <c r="O88" s="105"/>
    </row>
    <row r="89" spans="1:18" ht="36" customHeight="1" x14ac:dyDescent="0.2">
      <c r="A89" s="457" t="s">
        <v>192</v>
      </c>
      <c r="B89" s="438" t="s">
        <v>27</v>
      </c>
      <c r="C89" s="438" t="s">
        <v>28</v>
      </c>
      <c r="D89" s="438" t="s">
        <v>244</v>
      </c>
      <c r="E89" s="439">
        <v>0.27</v>
      </c>
      <c r="F89" s="515" t="s">
        <v>26</v>
      </c>
      <c r="G89" s="521">
        <v>43767</v>
      </c>
      <c r="H89" s="150">
        <v>460.79</v>
      </c>
      <c r="I89" s="517">
        <v>450</v>
      </c>
      <c r="J89" s="154" t="s">
        <v>11</v>
      </c>
      <c r="K89" s="243">
        <v>80</v>
      </c>
      <c r="L89" s="240">
        <f>+K89*I89</f>
        <v>36000</v>
      </c>
      <c r="M89" s="228">
        <v>63.29</v>
      </c>
      <c r="N89" s="228">
        <f>+M89*I89</f>
        <v>28480.5</v>
      </c>
      <c r="O89" s="105"/>
      <c r="P89" s="487">
        <f>+M89*H89</f>
        <v>29163.399100000002</v>
      </c>
      <c r="Q89" s="490">
        <f>+P89/N89</f>
        <v>1.0239777777777779</v>
      </c>
    </row>
    <row r="90" spans="1:18" ht="36" customHeight="1" thickBot="1" x14ac:dyDescent="0.25">
      <c r="A90" s="99"/>
      <c r="B90" s="89"/>
      <c r="C90" s="89"/>
      <c r="D90" s="89"/>
      <c r="E90" s="90"/>
      <c r="F90" s="89" t="s">
        <v>145</v>
      </c>
      <c r="G90" s="89"/>
      <c r="H90" s="89"/>
      <c r="I90" s="91"/>
      <c r="J90" s="91"/>
      <c r="K90" s="239"/>
      <c r="L90" s="239"/>
      <c r="M90" s="228"/>
      <c r="N90" s="228"/>
      <c r="O90" s="105"/>
    </row>
    <row r="91" spans="1:18" ht="36" customHeight="1" x14ac:dyDescent="0.2">
      <c r="A91" s="509" t="s">
        <v>224</v>
      </c>
      <c r="B91" s="484" t="s">
        <v>35</v>
      </c>
      <c r="C91" s="484" t="s">
        <v>207</v>
      </c>
      <c r="D91" s="484" t="s">
        <v>208</v>
      </c>
      <c r="E91" s="496">
        <v>0.15</v>
      </c>
      <c r="F91" s="429" t="s">
        <v>26</v>
      </c>
      <c r="G91" s="520">
        <v>2020</v>
      </c>
      <c r="H91" s="497"/>
      <c r="I91" s="498">
        <v>216</v>
      </c>
      <c r="J91" s="91" t="s">
        <v>11</v>
      </c>
      <c r="K91" s="239">
        <v>80</v>
      </c>
      <c r="L91" s="239">
        <f>+K91*I91</f>
        <v>17280</v>
      </c>
      <c r="M91" s="524">
        <v>90</v>
      </c>
      <c r="N91" s="228">
        <f>+M91*I91</f>
        <v>19440</v>
      </c>
      <c r="O91" s="105"/>
      <c r="P91" s="487">
        <f>+M91*H91</f>
        <v>0</v>
      </c>
      <c r="Q91" s="490">
        <f>+P91/N91</f>
        <v>0</v>
      </c>
    </row>
    <row r="92" spans="1:18" ht="39.950000000000003" customHeight="1" x14ac:dyDescent="0.2">
      <c r="A92" s="510" t="s">
        <v>184</v>
      </c>
      <c r="B92" s="511" t="s">
        <v>35</v>
      </c>
      <c r="C92" s="511" t="s">
        <v>146</v>
      </c>
      <c r="D92" s="511" t="s">
        <v>147</v>
      </c>
      <c r="E92" s="512">
        <v>1.5</v>
      </c>
      <c r="F92" s="511" t="s">
        <v>148</v>
      </c>
      <c r="G92" s="520">
        <v>2020</v>
      </c>
      <c r="H92" s="199"/>
      <c r="I92" s="513">
        <v>220</v>
      </c>
      <c r="J92" s="186" t="s">
        <v>11</v>
      </c>
      <c r="K92" s="241">
        <v>80</v>
      </c>
      <c r="L92" s="241">
        <f>+K92*I92</f>
        <v>17600</v>
      </c>
      <c r="M92" s="525">
        <v>84</v>
      </c>
      <c r="N92" s="257">
        <f>+M92*I92</f>
        <v>18480</v>
      </c>
      <c r="O92" s="105"/>
      <c r="P92" s="487">
        <f>+M92*H92</f>
        <v>0</v>
      </c>
      <c r="Q92" s="490">
        <f>+P92/N92</f>
        <v>0</v>
      </c>
    </row>
    <row r="93" spans="1:18" ht="39.950000000000003" customHeight="1" thickBot="1" x14ac:dyDescent="0.25">
      <c r="A93" s="509" t="s">
        <v>231</v>
      </c>
      <c r="B93" s="484" t="s">
        <v>196</v>
      </c>
      <c r="C93" s="484" t="s">
        <v>229</v>
      </c>
      <c r="D93" s="484" t="s">
        <v>230</v>
      </c>
      <c r="E93" s="496">
        <v>0.5</v>
      </c>
      <c r="F93" s="484" t="s">
        <v>37</v>
      </c>
      <c r="G93" s="520">
        <v>2020</v>
      </c>
      <c r="H93" s="89"/>
      <c r="I93" s="498">
        <v>260</v>
      </c>
      <c r="J93" s="91" t="s">
        <v>11</v>
      </c>
      <c r="K93" s="239">
        <v>80</v>
      </c>
      <c r="L93" s="239">
        <f>+K93*I93</f>
        <v>20800</v>
      </c>
      <c r="M93" s="524">
        <v>90</v>
      </c>
      <c r="N93" s="228">
        <f>+M93*I93</f>
        <v>23400</v>
      </c>
      <c r="O93" s="105"/>
      <c r="P93" s="494">
        <f>+M93*H93</f>
        <v>0</v>
      </c>
      <c r="Q93" s="491">
        <f>+P93/N93</f>
        <v>0</v>
      </c>
    </row>
    <row r="94" spans="1:18" ht="27.95" customHeight="1" thickBot="1" x14ac:dyDescent="0.3">
      <c r="A94" s="28"/>
      <c r="B94" s="21"/>
      <c r="C94" s="21"/>
      <c r="D94" s="21"/>
      <c r="E94" s="22"/>
      <c r="F94" s="82"/>
      <c r="G94" s="82"/>
      <c r="H94" s="99">
        <f>SUM(H86:H93)</f>
        <v>1174.8700000000001</v>
      </c>
      <c r="I94" s="444">
        <f>+I86+I89+I91+I92+I93</f>
        <v>1798</v>
      </c>
      <c r="J94" s="397" t="s">
        <v>11</v>
      </c>
      <c r="K94" s="398" t="s">
        <v>177</v>
      </c>
      <c r="L94" s="398">
        <f>+L86+L89+L91+L92+L93</f>
        <v>137320</v>
      </c>
      <c r="M94" s="398" t="s">
        <v>177</v>
      </c>
      <c r="N94" s="398">
        <f>+N86+N89+N91+N92+N93</f>
        <v>134116.94</v>
      </c>
      <c r="O94" s="105"/>
      <c r="P94" s="258">
        <f>+P86+P89+P91+P92+P93</f>
        <v>72601.666700000002</v>
      </c>
      <c r="Q94" s="495">
        <f>+P94/N94</f>
        <v>0.54133107048222251</v>
      </c>
    </row>
    <row r="95" spans="1:18" ht="27.95" hidden="1" customHeight="1" thickBot="1" x14ac:dyDescent="0.3">
      <c r="A95" s="321" t="s">
        <v>106</v>
      </c>
      <c r="B95" s="322" t="s">
        <v>187</v>
      </c>
      <c r="C95" s="323"/>
      <c r="D95" s="323"/>
      <c r="E95" s="22"/>
      <c r="F95" s="82"/>
      <c r="G95" s="82"/>
      <c r="H95" s="82"/>
      <c r="I95" s="80"/>
      <c r="J95" s="80"/>
      <c r="K95" s="80"/>
      <c r="L95" s="80"/>
      <c r="M95" s="218"/>
      <c r="N95" s="218"/>
      <c r="O95" s="105"/>
    </row>
    <row r="96" spans="1:18" ht="24.95" hidden="1" customHeight="1" thickBot="1" x14ac:dyDescent="0.4">
      <c r="A96" s="28"/>
      <c r="B96" s="21"/>
      <c r="C96" s="21"/>
      <c r="D96" s="2"/>
      <c r="E96" s="2"/>
      <c r="F96" s="131" t="s">
        <v>47</v>
      </c>
      <c r="G96" s="121"/>
      <c r="H96" s="121"/>
      <c r="I96" s="122" t="s">
        <v>8</v>
      </c>
      <c r="J96" s="122" t="s">
        <v>3</v>
      </c>
      <c r="K96" s="270" t="s">
        <v>3</v>
      </c>
      <c r="L96" s="124" t="s">
        <v>4</v>
      </c>
      <c r="M96" s="282" t="s">
        <v>3</v>
      </c>
      <c r="N96" s="283" t="s">
        <v>4</v>
      </c>
      <c r="O96" s="105"/>
    </row>
    <row r="97" spans="1:21" ht="30" hidden="1" customHeight="1" thickTop="1" x14ac:dyDescent="0.25">
      <c r="A97" s="28"/>
      <c r="B97" s="849" t="s">
        <v>48</v>
      </c>
      <c r="C97" s="850"/>
      <c r="D97" s="851"/>
      <c r="E97" s="2"/>
      <c r="F97" s="134" t="s">
        <v>61</v>
      </c>
      <c r="G97" s="136"/>
      <c r="H97" s="136"/>
      <c r="I97" s="139">
        <v>3500</v>
      </c>
      <c r="J97" s="91" t="s">
        <v>9</v>
      </c>
      <c r="K97" s="239">
        <v>2.5</v>
      </c>
      <c r="L97" s="272">
        <f t="shared" ref="L97:L102" si="14">+K97*I97</f>
        <v>8750</v>
      </c>
      <c r="M97" s="275">
        <v>2.0499999999999998</v>
      </c>
      <c r="N97" s="275">
        <f t="shared" ref="N97:N102" si="15">+M97*I97</f>
        <v>7174.9999999999991</v>
      </c>
      <c r="O97" s="105"/>
    </row>
    <row r="98" spans="1:21" ht="30" hidden="1" customHeight="1" thickBot="1" x14ac:dyDescent="0.3">
      <c r="A98" s="28"/>
      <c r="B98" s="846" t="s">
        <v>49</v>
      </c>
      <c r="C98" s="847"/>
      <c r="D98" s="848"/>
      <c r="E98" s="2"/>
      <c r="F98" s="134" t="s">
        <v>62</v>
      </c>
      <c r="G98" s="136"/>
      <c r="H98" s="136"/>
      <c r="I98" s="139">
        <v>7500</v>
      </c>
      <c r="J98" s="91" t="s">
        <v>9</v>
      </c>
      <c r="K98" s="239">
        <v>1.5</v>
      </c>
      <c r="L98" s="272">
        <f t="shared" si="14"/>
        <v>11250</v>
      </c>
      <c r="M98" s="228">
        <v>1.55</v>
      </c>
      <c r="N98" s="228">
        <f t="shared" si="15"/>
        <v>11625</v>
      </c>
      <c r="O98" s="105"/>
    </row>
    <row r="99" spans="1:21" ht="30" hidden="1" customHeight="1" thickTop="1" thickBot="1" x14ac:dyDescent="0.3">
      <c r="A99" s="28"/>
      <c r="B99" s="844"/>
      <c r="C99" s="845"/>
      <c r="D99" s="79"/>
      <c r="E99" s="2"/>
      <c r="F99" s="134" t="s">
        <v>10</v>
      </c>
      <c r="G99" s="136"/>
      <c r="H99" s="136"/>
      <c r="I99" s="139">
        <v>25</v>
      </c>
      <c r="J99" s="91" t="s">
        <v>11</v>
      </c>
      <c r="K99" s="239">
        <v>200</v>
      </c>
      <c r="L99" s="272">
        <f t="shared" si="14"/>
        <v>5000</v>
      </c>
      <c r="M99" s="228">
        <v>190</v>
      </c>
      <c r="N99" s="228">
        <f t="shared" si="15"/>
        <v>4750</v>
      </c>
      <c r="O99" s="105"/>
    </row>
    <row r="100" spans="1:21" ht="30" hidden="1" customHeight="1" thickBot="1" x14ac:dyDescent="0.4">
      <c r="A100" s="28"/>
      <c r="B100" s="75"/>
      <c r="C100" s="75"/>
      <c r="D100" s="137" t="s">
        <v>76</v>
      </c>
      <c r="E100" s="87"/>
      <c r="F100" s="136" t="s">
        <v>12</v>
      </c>
      <c r="G100" s="136"/>
      <c r="H100" s="136"/>
      <c r="I100" s="139">
        <v>75</v>
      </c>
      <c r="J100" s="91" t="s">
        <v>11</v>
      </c>
      <c r="K100" s="239">
        <v>150</v>
      </c>
      <c r="L100" s="272">
        <f t="shared" si="14"/>
        <v>11250</v>
      </c>
      <c r="M100" s="228">
        <v>140</v>
      </c>
      <c r="N100" s="228">
        <f t="shared" si="15"/>
        <v>10500</v>
      </c>
      <c r="O100" s="105"/>
    </row>
    <row r="101" spans="1:21" ht="30" hidden="1" customHeight="1" x14ac:dyDescent="0.25">
      <c r="A101" s="28"/>
      <c r="B101" s="21"/>
      <c r="C101" s="21"/>
      <c r="D101" s="78"/>
      <c r="E101" s="2"/>
      <c r="F101" s="134" t="s">
        <v>13</v>
      </c>
      <c r="G101" s="136"/>
      <c r="H101" s="136"/>
      <c r="I101" s="139">
        <v>150</v>
      </c>
      <c r="J101" s="91" t="s">
        <v>11</v>
      </c>
      <c r="K101" s="239">
        <v>100</v>
      </c>
      <c r="L101" s="272">
        <f t="shared" si="14"/>
        <v>15000</v>
      </c>
      <c r="M101" s="228">
        <v>95</v>
      </c>
      <c r="N101" s="228">
        <f t="shared" si="15"/>
        <v>14250</v>
      </c>
      <c r="O101" s="105"/>
    </row>
    <row r="102" spans="1:21" ht="30" hidden="1" customHeight="1" thickBot="1" x14ac:dyDescent="0.3">
      <c r="A102" s="856" t="s">
        <v>210</v>
      </c>
      <c r="B102" s="855"/>
      <c r="C102" s="855"/>
      <c r="D102" s="855"/>
      <c r="E102" s="855"/>
      <c r="F102" s="135" t="s">
        <v>19</v>
      </c>
      <c r="G102" s="405"/>
      <c r="H102" s="405"/>
      <c r="I102" s="140">
        <v>250</v>
      </c>
      <c r="J102" s="142" t="s">
        <v>11</v>
      </c>
      <c r="K102" s="241">
        <v>80</v>
      </c>
      <c r="L102" s="273">
        <f t="shared" si="14"/>
        <v>20000</v>
      </c>
      <c r="M102" s="257">
        <v>90</v>
      </c>
      <c r="N102" s="257">
        <f t="shared" si="15"/>
        <v>22500</v>
      </c>
      <c r="O102" s="105"/>
    </row>
    <row r="103" spans="1:21" ht="30" hidden="1" customHeight="1" thickBot="1" x14ac:dyDescent="0.3">
      <c r="A103" s="856" t="s">
        <v>211</v>
      </c>
      <c r="B103" s="855"/>
      <c r="C103" s="855"/>
      <c r="D103" s="855"/>
      <c r="E103" s="855"/>
      <c r="F103" s="86"/>
      <c r="G103" s="86"/>
      <c r="H103" s="86"/>
      <c r="I103" s="225"/>
      <c r="J103" s="226"/>
      <c r="K103" s="258" t="s">
        <v>177</v>
      </c>
      <c r="L103" s="258">
        <f>SUM(L97:L102)</f>
        <v>71250</v>
      </c>
      <c r="M103" s="258" t="s">
        <v>177</v>
      </c>
      <c r="N103" s="258">
        <f>SUM(N97:N102)</f>
        <v>70800</v>
      </c>
      <c r="O103" s="105"/>
    </row>
    <row r="104" spans="1:21" ht="9.9499999999999993" customHeight="1" x14ac:dyDescent="0.2">
      <c r="A104" s="24"/>
      <c r="B104" s="61"/>
      <c r="C104" s="61"/>
      <c r="D104" s="61"/>
      <c r="E104" s="62"/>
      <c r="F104" s="27"/>
      <c r="G104" s="27"/>
      <c r="H104" s="27"/>
      <c r="I104" s="15"/>
      <c r="J104" s="64"/>
      <c r="K104" s="64"/>
      <c r="L104" s="64"/>
      <c r="M104" s="218"/>
      <c r="N104" s="218"/>
    </row>
    <row r="105" spans="1:21" ht="9.9499999999999993" customHeight="1" x14ac:dyDescent="0.2">
      <c r="A105" s="48"/>
      <c r="B105" s="71"/>
      <c r="C105" s="71"/>
      <c r="D105" s="71"/>
      <c r="E105" s="72"/>
      <c r="F105" s="73"/>
      <c r="G105" s="73"/>
      <c r="H105" s="73"/>
      <c r="I105" s="74"/>
      <c r="J105" s="54"/>
      <c r="K105" s="54"/>
      <c r="L105" s="54"/>
      <c r="M105" s="219"/>
      <c r="N105" s="219"/>
    </row>
    <row r="106" spans="1:21" ht="35.1" customHeight="1" x14ac:dyDescent="0.5">
      <c r="A106" s="43" t="s">
        <v>54</v>
      </c>
      <c r="B106" s="61"/>
      <c r="C106" s="61"/>
      <c r="D106" s="61"/>
      <c r="E106" s="62"/>
      <c r="F106" s="396" t="str">
        <f>+F2</f>
        <v>UPDATED 11/11/2019</v>
      </c>
      <c r="G106" s="396"/>
      <c r="H106" s="396"/>
      <c r="I106" s="15"/>
      <c r="J106" s="64"/>
      <c r="K106" s="64"/>
      <c r="L106" s="64"/>
      <c r="M106" s="218"/>
      <c r="N106" s="218"/>
    </row>
    <row r="107" spans="1:21" ht="9.9499999999999993" customHeight="1" thickBot="1" x14ac:dyDescent="0.55000000000000004">
      <c r="A107" s="70"/>
      <c r="B107" s="71"/>
      <c r="C107" s="71"/>
      <c r="D107" s="71"/>
      <c r="E107" s="72"/>
      <c r="F107" s="73"/>
      <c r="G107" s="73"/>
      <c r="H107" s="73"/>
      <c r="I107" s="74"/>
      <c r="J107" s="54"/>
      <c r="K107" s="54"/>
      <c r="L107" s="54"/>
      <c r="M107" s="219"/>
      <c r="N107" s="219"/>
    </row>
    <row r="108" spans="1:21" ht="24.95" customHeight="1" thickBot="1" x14ac:dyDescent="0.45">
      <c r="A108" s="857" t="s">
        <v>17</v>
      </c>
      <c r="B108" s="857"/>
      <c r="C108" s="857"/>
      <c r="D108" s="69"/>
      <c r="E108" s="37" t="s">
        <v>24</v>
      </c>
      <c r="F108" s="69"/>
      <c r="G108" s="409"/>
      <c r="H108" s="407" t="s">
        <v>236</v>
      </c>
      <c r="I108" s="407" t="s">
        <v>235</v>
      </c>
      <c r="J108" s="409"/>
      <c r="K108" s="268" t="s">
        <v>189</v>
      </c>
      <c r="L108" s="287"/>
      <c r="M108" s="268" t="s">
        <v>176</v>
      </c>
      <c r="N108" s="269"/>
      <c r="P108" s="486" t="s">
        <v>236</v>
      </c>
      <c r="Q108" s="486" t="s">
        <v>236</v>
      </c>
    </row>
    <row r="109" spans="1:21" ht="24.95" customHeight="1" thickBot="1" x14ac:dyDescent="0.4">
      <c r="A109" s="103" t="s">
        <v>7</v>
      </c>
      <c r="B109" s="104" t="s">
        <v>0</v>
      </c>
      <c r="C109" s="104" t="s">
        <v>1</v>
      </c>
      <c r="D109" s="104" t="s">
        <v>6</v>
      </c>
      <c r="E109" s="103" t="s">
        <v>18</v>
      </c>
      <c r="F109" s="104" t="s">
        <v>2</v>
      </c>
      <c r="G109" s="418" t="s">
        <v>238</v>
      </c>
      <c r="H109" s="418" t="s">
        <v>237</v>
      </c>
      <c r="I109" s="408" t="s">
        <v>16</v>
      </c>
      <c r="J109" s="410" t="s">
        <v>8</v>
      </c>
      <c r="K109" s="279" t="s">
        <v>3</v>
      </c>
      <c r="L109" s="280" t="s">
        <v>4</v>
      </c>
      <c r="M109" s="276" t="s">
        <v>3</v>
      </c>
      <c r="N109" s="277" t="s">
        <v>4</v>
      </c>
      <c r="P109" s="486" t="s">
        <v>4</v>
      </c>
      <c r="Q109" s="500" t="s">
        <v>252</v>
      </c>
    </row>
    <row r="110" spans="1:21" ht="39.950000000000003" customHeight="1" thickBot="1" x14ac:dyDescent="0.3">
      <c r="A110" s="428" t="s">
        <v>63</v>
      </c>
      <c r="B110" s="429" t="s">
        <v>31</v>
      </c>
      <c r="C110" s="420" t="s">
        <v>39</v>
      </c>
      <c r="D110" s="420" t="s">
        <v>55</v>
      </c>
      <c r="E110" s="421">
        <v>2</v>
      </c>
      <c r="F110" s="482" t="s">
        <v>57</v>
      </c>
      <c r="G110" s="99"/>
      <c r="H110" s="99"/>
      <c r="I110" s="477">
        <v>29350</v>
      </c>
      <c r="J110" s="478" t="s">
        <v>21</v>
      </c>
      <c r="K110" s="479">
        <v>1.2</v>
      </c>
      <c r="L110" s="480">
        <f>+K110*I110</f>
        <v>35220</v>
      </c>
      <c r="M110" s="481">
        <v>0.85</v>
      </c>
      <c r="N110" s="481">
        <f>+M110*I110</f>
        <v>24947.5</v>
      </c>
      <c r="Q110" s="213"/>
      <c r="R110" s="214"/>
      <c r="S110" s="215"/>
      <c r="T110" s="216"/>
      <c r="U110" s="216"/>
    </row>
    <row r="111" spans="1:21" ht="39.950000000000003" customHeight="1" x14ac:dyDescent="0.2">
      <c r="A111" s="157"/>
      <c r="B111" s="115"/>
      <c r="C111" s="115"/>
      <c r="D111" s="395"/>
      <c r="E111" s="469"/>
      <c r="F111" s="463" t="s">
        <v>258</v>
      </c>
      <c r="G111" s="519">
        <v>2020</v>
      </c>
      <c r="H111" s="99"/>
      <c r="I111" s="508">
        <v>3810</v>
      </c>
      <c r="J111" s="91" t="s">
        <v>11</v>
      </c>
      <c r="K111" s="240">
        <v>65</v>
      </c>
      <c r="L111" s="239">
        <f>+K111*I111</f>
        <v>247650</v>
      </c>
      <c r="M111" s="524">
        <v>59.36</v>
      </c>
      <c r="N111" s="228">
        <f>+M111*I111</f>
        <v>226161.6</v>
      </c>
      <c r="P111" s="487">
        <f>+M111*H111</f>
        <v>0</v>
      </c>
      <c r="Q111" s="490">
        <f>+P111/N111</f>
        <v>0</v>
      </c>
      <c r="R111" s="3"/>
      <c r="T111" s="212"/>
      <c r="U111" s="3"/>
    </row>
    <row r="112" spans="1:21" ht="39.950000000000003" customHeight="1" thickBot="1" x14ac:dyDescent="0.25">
      <c r="A112" s="158"/>
      <c r="B112" s="159"/>
      <c r="C112" s="159"/>
      <c r="D112" s="160"/>
      <c r="E112" s="161"/>
      <c r="F112" s="485" t="s">
        <v>204</v>
      </c>
      <c r="G112" s="519">
        <v>2020</v>
      </c>
      <c r="H112" s="99"/>
      <c r="I112" s="432">
        <v>1</v>
      </c>
      <c r="J112" s="91" t="s">
        <v>77</v>
      </c>
      <c r="K112" s="240">
        <v>1500</v>
      </c>
      <c r="L112" s="239">
        <f>+K112*I112</f>
        <v>1500</v>
      </c>
      <c r="M112" s="526">
        <v>1740</v>
      </c>
      <c r="N112" s="239">
        <f>+M112*I112</f>
        <v>1740</v>
      </c>
      <c r="P112" s="487">
        <f>+M112*H112</f>
        <v>0</v>
      </c>
      <c r="Q112" s="490">
        <f>+P112/N112</f>
        <v>0</v>
      </c>
      <c r="R112" s="3"/>
      <c r="T112" s="212"/>
      <c r="U112" s="3"/>
    </row>
    <row r="113" spans="1:21" ht="39.950000000000003" customHeight="1" x14ac:dyDescent="0.2">
      <c r="A113" s="367" t="s">
        <v>169</v>
      </c>
      <c r="B113" s="368" t="s">
        <v>31</v>
      </c>
      <c r="C113" s="353" t="s">
        <v>39</v>
      </c>
      <c r="D113" s="353" t="s">
        <v>55</v>
      </c>
      <c r="E113" s="354">
        <v>2</v>
      </c>
      <c r="F113" s="353" t="s">
        <v>171</v>
      </c>
      <c r="G113" s="430"/>
      <c r="H113" s="430"/>
      <c r="I113" s="369">
        <v>29350</v>
      </c>
      <c r="J113" s="355" t="s">
        <v>21</v>
      </c>
      <c r="K113" s="370">
        <v>8.5</v>
      </c>
      <c r="L113" s="371">
        <f>+K113*I113</f>
        <v>249475</v>
      </c>
      <c r="M113" s="358"/>
      <c r="N113" s="358"/>
      <c r="Q113" s="3"/>
      <c r="R113" s="3"/>
      <c r="T113" s="212"/>
      <c r="U113" s="3"/>
    </row>
    <row r="114" spans="1:21" ht="39.950000000000003" customHeight="1" x14ac:dyDescent="0.2">
      <c r="A114" s="157"/>
      <c r="B114" s="115"/>
      <c r="C114" s="115"/>
      <c r="D114" s="116"/>
      <c r="E114" s="117"/>
      <c r="F114" s="348" t="s">
        <v>170</v>
      </c>
      <c r="G114" s="430"/>
      <c r="H114" s="430"/>
      <c r="I114" s="372">
        <v>3100</v>
      </c>
      <c r="J114" s="373" t="s">
        <v>11</v>
      </c>
      <c r="K114" s="366">
        <v>65</v>
      </c>
      <c r="L114" s="371">
        <f>+K114*I114</f>
        <v>201500</v>
      </c>
      <c r="M114" s="371">
        <v>59.36</v>
      </c>
      <c r="N114" s="371">
        <f>+M114*I114</f>
        <v>184016</v>
      </c>
      <c r="Q114" s="3"/>
      <c r="R114" s="3"/>
      <c r="T114" s="212"/>
      <c r="U114" s="3"/>
    </row>
    <row r="115" spans="1:21" ht="39.950000000000003" customHeight="1" thickBot="1" x14ac:dyDescent="0.25">
      <c r="A115" s="158"/>
      <c r="B115" s="159"/>
      <c r="C115" s="159"/>
      <c r="D115" s="160"/>
      <c r="E115" s="161"/>
      <c r="F115" s="374" t="s">
        <v>40</v>
      </c>
      <c r="G115" s="430"/>
      <c r="H115" s="430"/>
      <c r="I115" s="162"/>
      <c r="J115" s="163"/>
      <c r="K115" s="375"/>
      <c r="L115" s="376"/>
      <c r="M115" s="376"/>
      <c r="N115" s="376"/>
      <c r="Q115" s="3"/>
      <c r="R115" s="3"/>
      <c r="T115" s="212"/>
      <c r="U115" s="3"/>
    </row>
    <row r="116" spans="1:21" ht="50.1" customHeight="1" x14ac:dyDescent="0.2">
      <c r="A116" s="437" t="s">
        <v>64</v>
      </c>
      <c r="B116" s="515" t="s">
        <v>38</v>
      </c>
      <c r="C116" s="515" t="s">
        <v>39</v>
      </c>
      <c r="D116" s="438" t="s">
        <v>56</v>
      </c>
      <c r="E116" s="439">
        <v>2.5</v>
      </c>
      <c r="F116" s="516" t="s">
        <v>245</v>
      </c>
      <c r="G116" s="88">
        <f>+'2020 HMA Estimated Quantities'!G115</f>
        <v>0</v>
      </c>
      <c r="H116" s="88">
        <f>+'2020 HMA Estimated Quantities'!H115</f>
        <v>0</v>
      </c>
      <c r="I116" s="436">
        <v>4820</v>
      </c>
      <c r="J116" s="154" t="s">
        <v>11</v>
      </c>
      <c r="K116" s="244">
        <v>65</v>
      </c>
      <c r="L116" s="239">
        <f>+K116*I116</f>
        <v>313300</v>
      </c>
      <c r="M116" s="239">
        <v>59.36</v>
      </c>
      <c r="N116" s="239">
        <f>+M116*I116</f>
        <v>286115.20000000001</v>
      </c>
      <c r="P116" s="487">
        <f>+M116*H116</f>
        <v>0</v>
      </c>
      <c r="Q116" s="490">
        <f>+P116/N116</f>
        <v>0</v>
      </c>
      <c r="R116" s="3"/>
      <c r="S116" s="3"/>
      <c r="T116" s="212"/>
      <c r="U116" s="212"/>
    </row>
    <row r="117" spans="1:21" ht="39.950000000000003" customHeight="1" x14ac:dyDescent="0.2">
      <c r="A117" s="166"/>
      <c r="B117" s="118"/>
      <c r="C117" s="118"/>
      <c r="D117" s="395"/>
      <c r="E117" s="110"/>
      <c r="F117" s="89" t="s">
        <v>130</v>
      </c>
      <c r="G117" s="99"/>
      <c r="H117" s="99"/>
      <c r="I117" s="461">
        <v>2</v>
      </c>
      <c r="J117" s="91" t="s">
        <v>77</v>
      </c>
      <c r="K117" s="240">
        <v>1500</v>
      </c>
      <c r="L117" s="239">
        <f>+K117*I117</f>
        <v>3000</v>
      </c>
      <c r="M117" s="239">
        <v>1740</v>
      </c>
      <c r="N117" s="239">
        <f>+M117*I117</f>
        <v>3480</v>
      </c>
      <c r="P117" s="487">
        <f>+M117*H117</f>
        <v>0</v>
      </c>
      <c r="Q117" s="490">
        <f>+P117/N117</f>
        <v>0</v>
      </c>
      <c r="R117" s="3"/>
      <c r="T117" s="212"/>
      <c r="U117" s="3"/>
    </row>
    <row r="118" spans="1:21" ht="39.950000000000003" customHeight="1" thickBot="1" x14ac:dyDescent="0.25">
      <c r="A118" s="158"/>
      <c r="B118" s="159"/>
      <c r="C118" s="159"/>
      <c r="D118" s="160"/>
      <c r="E118" s="161"/>
      <c r="F118" s="128" t="s">
        <v>149</v>
      </c>
      <c r="G118" s="99"/>
      <c r="H118" s="99"/>
      <c r="I118" s="162"/>
      <c r="J118" s="163"/>
      <c r="K118" s="245"/>
      <c r="L118" s="239"/>
      <c r="M118" s="239"/>
      <c r="N118" s="239"/>
      <c r="Q118" s="3"/>
      <c r="R118" s="3"/>
      <c r="T118" s="212"/>
      <c r="U118" s="3"/>
    </row>
    <row r="119" spans="1:21" ht="30" customHeight="1" x14ac:dyDescent="0.2">
      <c r="A119" s="428" t="s">
        <v>65</v>
      </c>
      <c r="B119" s="429" t="s">
        <v>58</v>
      </c>
      <c r="C119" s="420" t="s">
        <v>59</v>
      </c>
      <c r="D119" s="420" t="s">
        <v>60</v>
      </c>
      <c r="E119" s="421">
        <v>0.4</v>
      </c>
      <c r="F119" s="420" t="s">
        <v>168</v>
      </c>
      <c r="G119" s="519">
        <v>2020</v>
      </c>
      <c r="H119" s="99"/>
      <c r="I119" s="505">
        <v>7900</v>
      </c>
      <c r="J119" s="154" t="s">
        <v>21</v>
      </c>
      <c r="K119" s="244">
        <v>2</v>
      </c>
      <c r="L119" s="239">
        <f t="shared" ref="L119:L134" si="16">+K119*I119</f>
        <v>15800</v>
      </c>
      <c r="M119" s="526">
        <v>1.2</v>
      </c>
      <c r="N119" s="239">
        <f t="shared" ref="N119:N133" si="17">+M119*I119</f>
        <v>9480</v>
      </c>
      <c r="P119" s="487">
        <f t="shared" ref="P119:P134" si="18">+M119*H119</f>
        <v>0</v>
      </c>
      <c r="Q119" s="490">
        <f t="shared" ref="Q119:Q135" si="19">+P119/N119</f>
        <v>0</v>
      </c>
      <c r="R119" s="3"/>
      <c r="T119" s="212"/>
      <c r="U119" s="3"/>
    </row>
    <row r="120" spans="1:21" ht="30" customHeight="1" x14ac:dyDescent="0.2">
      <c r="A120" s="166"/>
      <c r="B120" s="118"/>
      <c r="C120" s="109"/>
      <c r="D120" s="109"/>
      <c r="E120" s="110"/>
      <c r="F120" s="89" t="s">
        <v>250</v>
      </c>
      <c r="G120" s="519">
        <v>2020</v>
      </c>
      <c r="H120" s="99"/>
      <c r="I120" s="432">
        <v>1</v>
      </c>
      <c r="J120" s="91" t="s">
        <v>77</v>
      </c>
      <c r="K120" s="240">
        <v>1500</v>
      </c>
      <c r="L120" s="239">
        <f t="shared" si="16"/>
        <v>1500</v>
      </c>
      <c r="M120" s="526">
        <v>1740</v>
      </c>
      <c r="N120" s="239">
        <f t="shared" si="17"/>
        <v>1740</v>
      </c>
      <c r="P120" s="487">
        <f t="shared" si="18"/>
        <v>0</v>
      </c>
      <c r="Q120" s="490">
        <f t="shared" si="19"/>
        <v>0</v>
      </c>
      <c r="R120" s="3"/>
      <c r="T120" s="212"/>
      <c r="U120" s="3"/>
    </row>
    <row r="121" spans="1:21" ht="24.95" customHeight="1" thickBot="1" x14ac:dyDescent="0.25">
      <c r="A121" s="167"/>
      <c r="B121" s="168"/>
      <c r="C121" s="168"/>
      <c r="D121" s="169"/>
      <c r="E121" s="170"/>
      <c r="F121" s="128" t="s">
        <v>212</v>
      </c>
      <c r="G121" s="519">
        <v>2020</v>
      </c>
      <c r="H121" s="99"/>
      <c r="I121" s="433">
        <v>870</v>
      </c>
      <c r="J121" s="142" t="s">
        <v>11</v>
      </c>
      <c r="K121" s="247">
        <v>70</v>
      </c>
      <c r="L121" s="239">
        <f t="shared" si="16"/>
        <v>60900</v>
      </c>
      <c r="M121" s="526">
        <v>66.31</v>
      </c>
      <c r="N121" s="239">
        <f t="shared" si="17"/>
        <v>57689.700000000004</v>
      </c>
      <c r="P121" s="487">
        <f t="shared" si="18"/>
        <v>0</v>
      </c>
      <c r="Q121" s="490">
        <f t="shared" si="19"/>
        <v>0</v>
      </c>
      <c r="R121" s="3"/>
      <c r="T121" s="212"/>
      <c r="U121" s="3"/>
    </row>
    <row r="122" spans="1:21" ht="24.95" hidden="1" customHeight="1" x14ac:dyDescent="0.2">
      <c r="A122" s="437" t="s">
        <v>75</v>
      </c>
      <c r="B122" s="438" t="s">
        <v>33</v>
      </c>
      <c r="C122" s="438" t="s">
        <v>22</v>
      </c>
      <c r="D122" s="438" t="s">
        <v>74</v>
      </c>
      <c r="E122" s="439">
        <v>2</v>
      </c>
      <c r="F122" s="438" t="s">
        <v>131</v>
      </c>
      <c r="G122" s="411">
        <v>43690</v>
      </c>
      <c r="H122" s="472">
        <v>2151.92</v>
      </c>
      <c r="I122" s="436">
        <v>2200</v>
      </c>
      <c r="J122" s="154" t="s">
        <v>11</v>
      </c>
      <c r="K122" s="244">
        <v>65</v>
      </c>
      <c r="L122" s="239">
        <f t="shared" si="16"/>
        <v>143000</v>
      </c>
      <c r="M122" s="239">
        <v>62.9</v>
      </c>
      <c r="N122" s="239">
        <f>+M122*I122</f>
        <v>138380</v>
      </c>
      <c r="P122" s="487">
        <f t="shared" si="18"/>
        <v>135355.76800000001</v>
      </c>
      <c r="Q122" s="490">
        <f t="shared" si="19"/>
        <v>0.97814545454545465</v>
      </c>
      <c r="R122" s="3"/>
      <c r="T122" s="212"/>
      <c r="U122" s="3"/>
    </row>
    <row r="123" spans="1:21" ht="24.95" hidden="1" customHeight="1" thickBot="1" x14ac:dyDescent="0.25">
      <c r="A123" s="172"/>
      <c r="B123" s="173"/>
      <c r="C123" s="173"/>
      <c r="D123" s="173"/>
      <c r="E123" s="174"/>
      <c r="F123" s="128" t="s">
        <v>130</v>
      </c>
      <c r="G123" s="99"/>
      <c r="H123" s="476">
        <v>0</v>
      </c>
      <c r="I123" s="175">
        <v>2</v>
      </c>
      <c r="J123" s="142" t="s">
        <v>77</v>
      </c>
      <c r="K123" s="247">
        <v>1500</v>
      </c>
      <c r="L123" s="239">
        <f t="shared" si="16"/>
        <v>3000</v>
      </c>
      <c r="M123" s="239">
        <v>1740</v>
      </c>
      <c r="N123" s="239">
        <f t="shared" si="17"/>
        <v>3480</v>
      </c>
      <c r="P123" s="487">
        <f t="shared" si="18"/>
        <v>0</v>
      </c>
      <c r="Q123" s="490">
        <f t="shared" si="19"/>
        <v>0</v>
      </c>
      <c r="R123" s="3"/>
      <c r="T123" s="212"/>
      <c r="U123" s="3"/>
    </row>
    <row r="124" spans="1:21" ht="24.95" hidden="1" customHeight="1" x14ac:dyDescent="0.2">
      <c r="A124" s="437" t="s">
        <v>120</v>
      </c>
      <c r="B124" s="438" t="s">
        <v>31</v>
      </c>
      <c r="C124" s="438" t="s">
        <v>121</v>
      </c>
      <c r="D124" s="438" t="s">
        <v>249</v>
      </c>
      <c r="E124" s="439">
        <v>2.75</v>
      </c>
      <c r="F124" s="438" t="s">
        <v>168</v>
      </c>
      <c r="G124" s="411">
        <v>43728</v>
      </c>
      <c r="H124" s="504">
        <v>16561</v>
      </c>
      <c r="I124" s="153">
        <v>5600</v>
      </c>
      <c r="J124" s="154" t="s">
        <v>21</v>
      </c>
      <c r="K124" s="244">
        <v>2</v>
      </c>
      <c r="L124" s="239">
        <f t="shared" si="16"/>
        <v>11200</v>
      </c>
      <c r="M124" s="239">
        <v>1.24</v>
      </c>
      <c r="N124" s="239">
        <f t="shared" si="17"/>
        <v>6944</v>
      </c>
      <c r="P124" s="487">
        <f t="shared" si="18"/>
        <v>20535.64</v>
      </c>
      <c r="Q124" s="490">
        <f t="shared" si="19"/>
        <v>2.9573214285714284</v>
      </c>
      <c r="R124" s="3"/>
      <c r="T124" s="212"/>
      <c r="U124" s="3"/>
    </row>
    <row r="125" spans="1:21" ht="24.95" hidden="1" customHeight="1" thickBot="1" x14ac:dyDescent="0.25">
      <c r="A125" s="172"/>
      <c r="B125" s="173"/>
      <c r="C125" s="173"/>
      <c r="D125" s="173"/>
      <c r="E125" s="174"/>
      <c r="F125" s="128" t="s">
        <v>122</v>
      </c>
      <c r="G125" s="411">
        <v>43728</v>
      </c>
      <c r="H125" s="472">
        <v>1380.42</v>
      </c>
      <c r="I125" s="474">
        <v>476</v>
      </c>
      <c r="J125" s="178" t="s">
        <v>11</v>
      </c>
      <c r="K125" s="247">
        <v>80</v>
      </c>
      <c r="L125" s="239">
        <f t="shared" si="16"/>
        <v>38080</v>
      </c>
      <c r="M125" s="239">
        <v>72.75</v>
      </c>
      <c r="N125" s="239">
        <f t="shared" si="17"/>
        <v>34629</v>
      </c>
      <c r="P125" s="487">
        <f t="shared" si="18"/>
        <v>100425.55500000001</v>
      </c>
      <c r="Q125" s="490">
        <f t="shared" si="19"/>
        <v>2.9000420168067227</v>
      </c>
      <c r="R125" s="3"/>
      <c r="S125" s="3"/>
      <c r="T125" s="212"/>
      <c r="U125" s="212"/>
    </row>
    <row r="126" spans="1:21" ht="24.95" hidden="1" customHeight="1" x14ac:dyDescent="0.2">
      <c r="A126" s="437" t="s">
        <v>124</v>
      </c>
      <c r="B126" s="438" t="s">
        <v>125</v>
      </c>
      <c r="C126" s="438" t="s">
        <v>126</v>
      </c>
      <c r="D126" s="438" t="s">
        <v>248</v>
      </c>
      <c r="E126" s="439">
        <v>1.75</v>
      </c>
      <c r="F126" s="438" t="s">
        <v>168</v>
      </c>
      <c r="G126" s="411">
        <v>43729</v>
      </c>
      <c r="H126" s="504">
        <v>10456</v>
      </c>
      <c r="I126" s="153">
        <v>6667</v>
      </c>
      <c r="J126" s="154" t="s">
        <v>21</v>
      </c>
      <c r="K126" s="244">
        <v>2</v>
      </c>
      <c r="L126" s="239">
        <f t="shared" si="16"/>
        <v>13334</v>
      </c>
      <c r="M126" s="239">
        <v>1.27</v>
      </c>
      <c r="N126" s="239">
        <f t="shared" si="17"/>
        <v>8467.09</v>
      </c>
      <c r="P126" s="487">
        <f t="shared" si="18"/>
        <v>13279.12</v>
      </c>
      <c r="Q126" s="490">
        <f t="shared" si="19"/>
        <v>1.568321583920804</v>
      </c>
      <c r="R126" s="3"/>
      <c r="T126" s="212"/>
      <c r="U126" s="3"/>
    </row>
    <row r="127" spans="1:21" ht="24.95" hidden="1" customHeight="1" thickBot="1" x14ac:dyDescent="0.25">
      <c r="A127" s="172"/>
      <c r="B127" s="173"/>
      <c r="C127" s="173"/>
      <c r="D127" s="173"/>
      <c r="E127" s="174"/>
      <c r="F127" s="128" t="s">
        <v>122</v>
      </c>
      <c r="G127" s="411">
        <v>43729</v>
      </c>
      <c r="H127" s="472">
        <v>906.94</v>
      </c>
      <c r="I127" s="475">
        <v>566</v>
      </c>
      <c r="J127" s="142" t="s">
        <v>11</v>
      </c>
      <c r="K127" s="247">
        <v>70</v>
      </c>
      <c r="L127" s="239">
        <f t="shared" si="16"/>
        <v>39620</v>
      </c>
      <c r="M127" s="239">
        <v>71.75</v>
      </c>
      <c r="N127" s="239">
        <f t="shared" si="17"/>
        <v>40610.5</v>
      </c>
      <c r="P127" s="487">
        <f t="shared" si="18"/>
        <v>65072.945000000007</v>
      </c>
      <c r="Q127" s="490">
        <f t="shared" si="19"/>
        <v>1.6023674911660779</v>
      </c>
      <c r="R127" s="3"/>
      <c r="S127" s="3"/>
      <c r="T127" s="212"/>
      <c r="U127" s="212"/>
    </row>
    <row r="128" spans="1:21" ht="30" hidden="1" customHeight="1" x14ac:dyDescent="0.2">
      <c r="A128" s="446" t="s">
        <v>50</v>
      </c>
      <c r="B128" s="447" t="s">
        <v>33</v>
      </c>
      <c r="C128" s="447" t="s">
        <v>22</v>
      </c>
      <c r="D128" s="447" t="s">
        <v>71</v>
      </c>
      <c r="E128" s="448">
        <v>1</v>
      </c>
      <c r="F128" s="447" t="s">
        <v>72</v>
      </c>
      <c r="G128" s="411">
        <v>43668</v>
      </c>
      <c r="H128" s="472">
        <v>869.86</v>
      </c>
      <c r="I128" s="445">
        <v>600</v>
      </c>
      <c r="J128" s="182" t="s">
        <v>11</v>
      </c>
      <c r="K128" s="246">
        <v>70</v>
      </c>
      <c r="L128" s="239">
        <f t="shared" si="16"/>
        <v>42000</v>
      </c>
      <c r="M128" s="239">
        <v>69.069999999999993</v>
      </c>
      <c r="N128" s="239">
        <f t="shared" si="17"/>
        <v>41441.999999999993</v>
      </c>
      <c r="P128" s="487">
        <f t="shared" si="18"/>
        <v>60081.230199999998</v>
      </c>
      <c r="Q128" s="490">
        <f t="shared" si="19"/>
        <v>1.4497666666666669</v>
      </c>
      <c r="R128" s="3"/>
      <c r="T128" s="212"/>
      <c r="U128" s="3"/>
    </row>
    <row r="129" spans="1:21" ht="30" hidden="1" customHeight="1" x14ac:dyDescent="0.2">
      <c r="A129" s="107" t="s">
        <v>78</v>
      </c>
      <c r="B129" s="95" t="s">
        <v>5</v>
      </c>
      <c r="C129" s="95" t="s">
        <v>67</v>
      </c>
      <c r="D129" s="95" t="s">
        <v>68</v>
      </c>
      <c r="E129" s="96">
        <v>0.12</v>
      </c>
      <c r="F129" s="95" t="s">
        <v>73</v>
      </c>
      <c r="G129" s="431">
        <v>43654</v>
      </c>
      <c r="H129" s="324">
        <v>147.63999999999999</v>
      </c>
      <c r="I129" s="97">
        <v>140</v>
      </c>
      <c r="J129" s="97" t="s">
        <v>11</v>
      </c>
      <c r="K129" s="240">
        <v>100</v>
      </c>
      <c r="L129" s="239">
        <f t="shared" si="16"/>
        <v>14000</v>
      </c>
      <c r="M129" s="239">
        <v>90</v>
      </c>
      <c r="N129" s="239">
        <f t="shared" si="17"/>
        <v>12600</v>
      </c>
      <c r="P129" s="487">
        <f t="shared" si="18"/>
        <v>13287.599999999999</v>
      </c>
      <c r="Q129" s="490">
        <f t="shared" si="19"/>
        <v>1.0545714285714285</v>
      </c>
      <c r="R129" s="3"/>
      <c r="T129" s="212"/>
      <c r="U129" s="3"/>
    </row>
    <row r="130" spans="1:21" ht="30" hidden="1" customHeight="1" x14ac:dyDescent="0.2">
      <c r="A130" s="107" t="s">
        <v>128</v>
      </c>
      <c r="B130" s="95" t="s">
        <v>15</v>
      </c>
      <c r="C130" s="95" t="s">
        <v>69</v>
      </c>
      <c r="D130" s="95" t="s">
        <v>70</v>
      </c>
      <c r="E130" s="96">
        <v>0.48</v>
      </c>
      <c r="F130" s="95" t="s">
        <v>46</v>
      </c>
      <c r="G130" s="431" t="s">
        <v>240</v>
      </c>
      <c r="H130" s="324">
        <f>46.54+55.42</f>
        <v>101.96000000000001</v>
      </c>
      <c r="I130" s="97">
        <v>120</v>
      </c>
      <c r="J130" s="97" t="s">
        <v>11</v>
      </c>
      <c r="K130" s="240">
        <v>100</v>
      </c>
      <c r="L130" s="239">
        <f t="shared" si="16"/>
        <v>12000</v>
      </c>
      <c r="M130" s="239">
        <v>93</v>
      </c>
      <c r="N130" s="239">
        <f t="shared" si="17"/>
        <v>11160</v>
      </c>
      <c r="P130" s="487">
        <f t="shared" si="18"/>
        <v>9482.2800000000007</v>
      </c>
      <c r="Q130" s="490">
        <f t="shared" si="19"/>
        <v>0.84966666666666668</v>
      </c>
      <c r="R130" s="3"/>
      <c r="T130" s="212"/>
      <c r="U130" s="3"/>
    </row>
    <row r="131" spans="1:21" ht="30" hidden="1" customHeight="1" x14ac:dyDescent="0.2">
      <c r="A131" s="107" t="s">
        <v>129</v>
      </c>
      <c r="B131" s="95" t="s">
        <v>14</v>
      </c>
      <c r="C131" s="95" t="s">
        <v>79</v>
      </c>
      <c r="D131" s="95" t="s">
        <v>80</v>
      </c>
      <c r="E131" s="96">
        <v>1.25</v>
      </c>
      <c r="F131" s="95" t="s">
        <v>46</v>
      </c>
      <c r="G131" s="431">
        <v>43654</v>
      </c>
      <c r="H131" s="324">
        <v>293.05</v>
      </c>
      <c r="I131" s="97">
        <v>300</v>
      </c>
      <c r="J131" s="97" t="s">
        <v>11</v>
      </c>
      <c r="K131" s="240">
        <v>80</v>
      </c>
      <c r="L131" s="239">
        <f t="shared" si="16"/>
        <v>24000</v>
      </c>
      <c r="M131" s="239">
        <v>84</v>
      </c>
      <c r="N131" s="239">
        <f t="shared" si="17"/>
        <v>25200</v>
      </c>
      <c r="P131" s="487">
        <f t="shared" si="18"/>
        <v>24616.2</v>
      </c>
      <c r="Q131" s="490">
        <f t="shared" si="19"/>
        <v>0.97683333333333333</v>
      </c>
      <c r="R131" s="3"/>
      <c r="T131" s="212"/>
      <c r="U131" s="3"/>
    </row>
    <row r="132" spans="1:21" ht="30" hidden="1" customHeight="1" x14ac:dyDescent="0.2">
      <c r="A132" s="315" t="s">
        <v>52</v>
      </c>
      <c r="B132" s="316" t="s">
        <v>14</v>
      </c>
      <c r="C132" s="316" t="s">
        <v>151</v>
      </c>
      <c r="D132" s="316" t="s">
        <v>152</v>
      </c>
      <c r="E132" s="317">
        <v>0.5</v>
      </c>
      <c r="F132" s="316" t="s">
        <v>46</v>
      </c>
      <c r="G132" s="411">
        <v>43659</v>
      </c>
      <c r="H132" s="99">
        <v>147.12</v>
      </c>
      <c r="I132" s="237">
        <v>130</v>
      </c>
      <c r="J132" s="237" t="s">
        <v>11</v>
      </c>
      <c r="K132" s="242">
        <v>100</v>
      </c>
      <c r="L132" s="241">
        <f t="shared" si="16"/>
        <v>13000</v>
      </c>
      <c r="M132" s="241">
        <v>93</v>
      </c>
      <c r="N132" s="241">
        <f t="shared" si="17"/>
        <v>12090</v>
      </c>
      <c r="P132" s="487">
        <f t="shared" si="18"/>
        <v>13682.16</v>
      </c>
      <c r="Q132" s="490">
        <f t="shared" si="19"/>
        <v>1.1316923076923078</v>
      </c>
      <c r="R132" s="3"/>
      <c r="T132" s="212"/>
      <c r="U132" s="3"/>
    </row>
    <row r="133" spans="1:21" ht="30" hidden="1" customHeight="1" x14ac:dyDescent="0.2">
      <c r="A133" s="468" t="s">
        <v>205</v>
      </c>
      <c r="B133" s="325" t="s">
        <v>196</v>
      </c>
      <c r="C133" s="325" t="s">
        <v>197</v>
      </c>
      <c r="D133" s="325" t="s">
        <v>198</v>
      </c>
      <c r="E133" s="326">
        <v>7.3</v>
      </c>
      <c r="F133" s="450" t="s">
        <v>199</v>
      </c>
      <c r="G133" s="431">
        <v>43642</v>
      </c>
      <c r="H133" s="324">
        <v>247.39</v>
      </c>
      <c r="I133" s="327">
        <v>235</v>
      </c>
      <c r="J133" s="327" t="s">
        <v>11</v>
      </c>
      <c r="K133" s="328">
        <v>80</v>
      </c>
      <c r="L133" s="328">
        <f t="shared" si="16"/>
        <v>18800</v>
      </c>
      <c r="M133" s="328">
        <v>90</v>
      </c>
      <c r="N133" s="328">
        <f t="shared" si="17"/>
        <v>21150</v>
      </c>
      <c r="P133" s="487">
        <f t="shared" si="18"/>
        <v>22265.1</v>
      </c>
      <c r="Q133" s="490">
        <f t="shared" si="19"/>
        <v>1.0527234042553191</v>
      </c>
      <c r="R133" s="3"/>
      <c r="T133" s="212"/>
      <c r="U133" s="3"/>
    </row>
    <row r="134" spans="1:21" ht="30" hidden="1" customHeight="1" thickBot="1" x14ac:dyDescent="0.25">
      <c r="A134" s="332" t="s">
        <v>203</v>
      </c>
      <c r="B134" s="333" t="s">
        <v>5</v>
      </c>
      <c r="C134" s="333" t="s">
        <v>200</v>
      </c>
      <c r="D134" s="333" t="s">
        <v>201</v>
      </c>
      <c r="E134" s="334">
        <v>0.12</v>
      </c>
      <c r="F134" s="89" t="s">
        <v>213</v>
      </c>
      <c r="G134" s="411">
        <v>43644</v>
      </c>
      <c r="H134" s="190">
        <v>150.19</v>
      </c>
      <c r="I134" s="335">
        <v>126</v>
      </c>
      <c r="J134" s="335" t="s">
        <v>11</v>
      </c>
      <c r="K134" s="336">
        <v>100</v>
      </c>
      <c r="L134" s="337">
        <f t="shared" si="16"/>
        <v>12600</v>
      </c>
      <c r="M134" s="338">
        <v>95</v>
      </c>
      <c r="N134" s="338">
        <f>+M134*I134</f>
        <v>11970</v>
      </c>
      <c r="P134" s="494">
        <f t="shared" si="18"/>
        <v>14268.05</v>
      </c>
      <c r="Q134" s="491">
        <f t="shared" si="19"/>
        <v>1.1919841269841269</v>
      </c>
      <c r="R134" s="3"/>
      <c r="T134" s="212"/>
      <c r="U134" s="3"/>
    </row>
    <row r="135" spans="1:21" ht="30" hidden="1" customHeight="1" thickBot="1" x14ac:dyDescent="0.3">
      <c r="A135" s="81"/>
      <c r="B135" s="82"/>
      <c r="C135" s="82"/>
      <c r="D135" s="82"/>
      <c r="E135" s="83"/>
      <c r="F135" s="449"/>
      <c r="G135" s="84"/>
      <c r="H135" s="452">
        <f>+H111+H116+H121+H122+H125+H127+H128+H129+H130+H131+H132+H133+H134</f>
        <v>6396.4900000000007</v>
      </c>
      <c r="I135" s="451">
        <f>+I111+I116+I121+I122+I125+I127+I128+I129+I130+I131+I132+I133+I134</f>
        <v>14393</v>
      </c>
      <c r="J135" s="262" t="s">
        <v>11</v>
      </c>
      <c r="K135" s="310" t="s">
        <v>177</v>
      </c>
      <c r="L135" s="310">
        <f>L110+L111+SUM(L116:L134)</f>
        <v>1062004</v>
      </c>
      <c r="M135" s="310" t="s">
        <v>177</v>
      </c>
      <c r="N135" s="310">
        <f>N110+N111+SUM(N116:N134)</f>
        <v>977736.59</v>
      </c>
      <c r="P135" s="310">
        <f>P110+P111+SUM(P116:P134)</f>
        <v>492351.64819999994</v>
      </c>
      <c r="Q135" s="495">
        <f t="shared" si="19"/>
        <v>0.5035626703916235</v>
      </c>
      <c r="R135" s="3"/>
      <c r="S135" s="3"/>
      <c r="T135" s="212"/>
      <c r="U135" s="212"/>
    </row>
    <row r="136" spans="1:21" ht="30" hidden="1" customHeight="1" thickBot="1" x14ac:dyDescent="0.35">
      <c r="A136" s="81"/>
      <c r="B136" s="82"/>
      <c r="C136" s="82"/>
      <c r="D136" s="82"/>
      <c r="E136" s="83"/>
      <c r="F136" s="84"/>
      <c r="G136" s="84"/>
      <c r="H136" s="84"/>
      <c r="I136" s="311"/>
      <c r="J136" s="80"/>
      <c r="K136" s="80"/>
      <c r="L136" s="80"/>
      <c r="M136" s="223"/>
      <c r="N136" s="223"/>
      <c r="Q136" s="217"/>
      <c r="R136" s="3"/>
      <c r="S136" s="3"/>
      <c r="T136" s="212"/>
      <c r="U136" s="212"/>
    </row>
    <row r="137" spans="1:21" ht="24.95" hidden="1" customHeight="1" thickBot="1" x14ac:dyDescent="0.4">
      <c r="A137" s="6"/>
      <c r="B137" s="36"/>
      <c r="C137" s="36"/>
      <c r="D137" s="36"/>
      <c r="E137" s="21"/>
      <c r="F137" s="320" t="s">
        <v>47</v>
      </c>
      <c r="G137" s="406"/>
      <c r="H137" s="406"/>
      <c r="I137" s="319" t="s">
        <v>8</v>
      </c>
      <c r="J137" s="319" t="s">
        <v>8</v>
      </c>
      <c r="K137" s="319" t="s">
        <v>3</v>
      </c>
      <c r="L137" s="319" t="s">
        <v>4</v>
      </c>
      <c r="M137" s="318" t="s">
        <v>3</v>
      </c>
      <c r="N137" s="312" t="s">
        <v>4</v>
      </c>
      <c r="T137" s="11"/>
    </row>
    <row r="138" spans="1:21" ht="30" hidden="1" customHeight="1" x14ac:dyDescent="0.25">
      <c r="A138" s="29"/>
      <c r="B138" s="21"/>
      <c r="C138" s="21"/>
      <c r="D138" s="21"/>
      <c r="E138" s="21"/>
      <c r="F138" s="134" t="s">
        <v>61</v>
      </c>
      <c r="G138" s="136"/>
      <c r="H138" s="136"/>
      <c r="I138" s="139">
        <v>3500</v>
      </c>
      <c r="J138" s="91" t="s">
        <v>9</v>
      </c>
      <c r="K138" s="239">
        <v>2.5</v>
      </c>
      <c r="L138" s="272">
        <f t="shared" ref="L138:L143" si="20">+K138*I138</f>
        <v>8750</v>
      </c>
      <c r="M138" s="281">
        <v>2.0499999999999998</v>
      </c>
      <c r="N138" s="281">
        <f t="shared" ref="N138:N143" si="21">+M138*I138</f>
        <v>7174.9999999999991</v>
      </c>
      <c r="T138" s="11"/>
    </row>
    <row r="139" spans="1:21" ht="30" hidden="1" customHeight="1" x14ac:dyDescent="0.25">
      <c r="A139" s="29"/>
      <c r="B139" s="21"/>
      <c r="C139" s="21"/>
      <c r="D139" s="21"/>
      <c r="E139" s="21"/>
      <c r="F139" s="134" t="s">
        <v>62</v>
      </c>
      <c r="G139" s="136"/>
      <c r="H139" s="136"/>
      <c r="I139" s="139">
        <v>7500</v>
      </c>
      <c r="J139" s="91" t="s">
        <v>9</v>
      </c>
      <c r="K139" s="239">
        <v>1.5</v>
      </c>
      <c r="L139" s="272">
        <f t="shared" si="20"/>
        <v>11250</v>
      </c>
      <c r="M139" s="239">
        <v>1.55</v>
      </c>
      <c r="N139" s="239">
        <f t="shared" si="21"/>
        <v>11625</v>
      </c>
      <c r="T139" s="11"/>
    </row>
    <row r="140" spans="1:21" ht="30" hidden="1" customHeight="1" thickBot="1" x14ac:dyDescent="0.3">
      <c r="A140" s="29"/>
      <c r="B140" s="21"/>
      <c r="C140" s="21"/>
      <c r="D140" s="21"/>
      <c r="E140" s="21"/>
      <c r="F140" s="134" t="s">
        <v>10</v>
      </c>
      <c r="G140" s="136"/>
      <c r="H140" s="136"/>
      <c r="I140" s="139">
        <v>25</v>
      </c>
      <c r="J140" s="91" t="s">
        <v>11</v>
      </c>
      <c r="K140" s="239">
        <v>200</v>
      </c>
      <c r="L140" s="272">
        <f t="shared" si="20"/>
        <v>5000</v>
      </c>
      <c r="M140" s="239">
        <v>190</v>
      </c>
      <c r="N140" s="239">
        <f t="shared" si="21"/>
        <v>4750</v>
      </c>
      <c r="T140" s="11"/>
    </row>
    <row r="141" spans="1:21" ht="30" hidden="1" customHeight="1" thickBot="1" x14ac:dyDescent="0.4">
      <c r="A141" s="29"/>
      <c r="B141" s="119"/>
      <c r="C141" s="75"/>
      <c r="D141" s="137" t="s">
        <v>76</v>
      </c>
      <c r="E141" s="87"/>
      <c r="F141" s="136" t="s">
        <v>12</v>
      </c>
      <c r="G141" s="136"/>
      <c r="H141" s="136"/>
      <c r="I141" s="139">
        <v>75</v>
      </c>
      <c r="J141" s="91" t="s">
        <v>11</v>
      </c>
      <c r="K141" s="239">
        <v>150</v>
      </c>
      <c r="L141" s="272">
        <f t="shared" si="20"/>
        <v>11250</v>
      </c>
      <c r="M141" s="239">
        <v>140</v>
      </c>
      <c r="N141" s="239">
        <f t="shared" si="21"/>
        <v>10500</v>
      </c>
      <c r="T141" s="11"/>
    </row>
    <row r="142" spans="1:21" ht="30" hidden="1" customHeight="1" x14ac:dyDescent="0.25">
      <c r="A142" s="860" t="s">
        <v>209</v>
      </c>
      <c r="B142" s="861"/>
      <c r="C142" s="861"/>
      <c r="D142" s="861"/>
      <c r="E142" s="861"/>
      <c r="F142" s="134" t="s">
        <v>13</v>
      </c>
      <c r="G142" s="136"/>
      <c r="H142" s="136"/>
      <c r="I142" s="139">
        <v>150</v>
      </c>
      <c r="J142" s="91" t="s">
        <v>11</v>
      </c>
      <c r="K142" s="239">
        <v>100</v>
      </c>
      <c r="L142" s="272">
        <f t="shared" si="20"/>
        <v>15000</v>
      </c>
      <c r="M142" s="239">
        <v>95</v>
      </c>
      <c r="N142" s="239">
        <f t="shared" si="21"/>
        <v>14250</v>
      </c>
      <c r="T142" s="11"/>
    </row>
    <row r="143" spans="1:21" ht="30" hidden="1" customHeight="1" thickBot="1" x14ac:dyDescent="0.3">
      <c r="A143" s="856" t="s">
        <v>210</v>
      </c>
      <c r="B143" s="855"/>
      <c r="C143" s="855"/>
      <c r="D143" s="855"/>
      <c r="E143" s="855"/>
      <c r="F143" s="135" t="s">
        <v>19</v>
      </c>
      <c r="G143" s="405"/>
      <c r="H143" s="405"/>
      <c r="I143" s="140">
        <v>250</v>
      </c>
      <c r="J143" s="142" t="s">
        <v>11</v>
      </c>
      <c r="K143" s="241">
        <v>80</v>
      </c>
      <c r="L143" s="273">
        <f t="shared" si="20"/>
        <v>20000</v>
      </c>
      <c r="M143" s="241">
        <v>90</v>
      </c>
      <c r="N143" s="241">
        <f t="shared" si="21"/>
        <v>22500</v>
      </c>
      <c r="T143" s="11"/>
    </row>
    <row r="144" spans="1:21" ht="30" hidden="1" customHeight="1" thickBot="1" x14ac:dyDescent="0.3">
      <c r="A144" s="856" t="s">
        <v>211</v>
      </c>
      <c r="B144" s="855"/>
      <c r="C144" s="855"/>
      <c r="D144" s="855"/>
      <c r="E144" s="855"/>
      <c r="F144" s="86"/>
      <c r="G144" s="86"/>
      <c r="H144" s="86"/>
      <c r="I144" s="225"/>
      <c r="J144" s="226"/>
      <c r="K144" s="310" t="s">
        <v>177</v>
      </c>
      <c r="L144" s="310">
        <f>SUM(L138:L143)</f>
        <v>71250</v>
      </c>
      <c r="M144" s="310" t="s">
        <v>177</v>
      </c>
      <c r="N144" s="310">
        <f>SUM(N138:N143)</f>
        <v>70800</v>
      </c>
      <c r="T144" s="11"/>
    </row>
    <row r="145" spans="1:20" x14ac:dyDescent="0.2">
      <c r="A145" s="14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224"/>
      <c r="N145" s="224"/>
      <c r="T145" s="11"/>
    </row>
    <row r="146" spans="1:20" ht="9.9499999999999993" hidden="1" customHeight="1" x14ac:dyDescent="0.2">
      <c r="A146" s="48"/>
      <c r="B146" s="71"/>
      <c r="C146" s="71"/>
      <c r="D146" s="71"/>
      <c r="E146" s="72"/>
      <c r="F146" s="73"/>
      <c r="G146" s="73"/>
      <c r="H146" s="73"/>
      <c r="I146" s="74"/>
      <c r="J146" s="54"/>
      <c r="K146" s="54"/>
      <c r="L146" s="54"/>
      <c r="M146" s="219"/>
      <c r="N146" s="219"/>
      <c r="O146" s="48"/>
    </row>
    <row r="147" spans="1:20" ht="30" hidden="1" customHeight="1" thickBot="1" x14ac:dyDescent="0.25">
      <c r="F147" s="396" t="str">
        <f>+F2</f>
        <v>UPDATED 11/11/2019</v>
      </c>
      <c r="G147" s="396"/>
      <c r="H147" s="396"/>
      <c r="M147" s="224"/>
      <c r="N147" s="224"/>
    </row>
    <row r="148" spans="1:20" ht="30" hidden="1" customHeight="1" thickBot="1" x14ac:dyDescent="0.25">
      <c r="B148" s="4"/>
      <c r="C148" s="4"/>
      <c r="D148" s="298" t="s">
        <v>190</v>
      </c>
      <c r="E148" s="297"/>
      <c r="H148" s="465" t="s">
        <v>236</v>
      </c>
      <c r="I148" s="465" t="s">
        <v>246</v>
      </c>
      <c r="K148" s="288" t="s">
        <v>189</v>
      </c>
      <c r="L148" s="289"/>
      <c r="M148" s="288" t="s">
        <v>176</v>
      </c>
      <c r="N148" s="290"/>
      <c r="O148" s="77"/>
    </row>
    <row r="149" spans="1:20" ht="30" hidden="1" customHeight="1" thickBot="1" x14ac:dyDescent="0.45">
      <c r="B149" s="235"/>
      <c r="C149" s="235"/>
      <c r="F149" s="233" t="s">
        <v>42</v>
      </c>
      <c r="G149" s="467">
        <f>+H149/I149</f>
        <v>0.97239436619718311</v>
      </c>
      <c r="H149" s="466">
        <f>+H20</f>
        <v>3728.16</v>
      </c>
      <c r="I149" s="466">
        <f>+I20</f>
        <v>3834</v>
      </c>
      <c r="J149" s="464" t="s">
        <v>11</v>
      </c>
      <c r="K149" s="299"/>
      <c r="L149" s="300">
        <f>+L20</f>
        <v>298165</v>
      </c>
      <c r="M149" s="301"/>
      <c r="N149" s="300">
        <f>+N20</f>
        <v>270491.90000000002</v>
      </c>
      <c r="O149" s="302"/>
    </row>
    <row r="150" spans="1:20" ht="30" hidden="1" customHeight="1" thickBot="1" x14ac:dyDescent="0.45">
      <c r="B150" s="235"/>
      <c r="C150" s="235"/>
      <c r="F150" s="233" t="s">
        <v>43</v>
      </c>
      <c r="G150" s="467">
        <f>+H150/I150</f>
        <v>1.0515565217391305</v>
      </c>
      <c r="H150" s="466">
        <f>+H43</f>
        <v>1209.29</v>
      </c>
      <c r="I150" s="466">
        <f>+I43</f>
        <v>1150</v>
      </c>
      <c r="J150" s="464" t="s">
        <v>11</v>
      </c>
      <c r="K150" s="299"/>
      <c r="L150" s="300">
        <f>+L43</f>
        <v>103200</v>
      </c>
      <c r="M150" s="301"/>
      <c r="N150" s="300">
        <f>+N43</f>
        <v>95294.92</v>
      </c>
      <c r="O150" s="302"/>
    </row>
    <row r="151" spans="1:20" ht="30" hidden="1" customHeight="1" thickBot="1" x14ac:dyDescent="0.45">
      <c r="B151" s="235"/>
      <c r="C151" s="235"/>
      <c r="F151" s="233" t="s">
        <v>44</v>
      </c>
      <c r="G151" s="467">
        <f>+H151/I151</f>
        <v>1.0554256055363322</v>
      </c>
      <c r="H151" s="466">
        <f>+H69</f>
        <v>3050.1800000000003</v>
      </c>
      <c r="I151" s="466">
        <f>+I69</f>
        <v>2890</v>
      </c>
      <c r="J151" s="464" t="s">
        <v>11</v>
      </c>
      <c r="K151" s="299"/>
      <c r="L151" s="300">
        <f>+L69</f>
        <v>131650</v>
      </c>
      <c r="M151" s="301"/>
      <c r="N151" s="300">
        <f>+N69</f>
        <v>123702.69999999998</v>
      </c>
      <c r="O151" s="302"/>
    </row>
    <row r="152" spans="1:20" ht="30" hidden="1" customHeight="1" thickBot="1" x14ac:dyDescent="0.45">
      <c r="B152" s="235"/>
      <c r="C152" s="235"/>
      <c r="F152" s="233" t="s">
        <v>45</v>
      </c>
      <c r="G152" s="467">
        <f>+H152/I152</f>
        <v>0.65343159065628487</v>
      </c>
      <c r="H152" s="466">
        <f>+H94</f>
        <v>1174.8700000000001</v>
      </c>
      <c r="I152" s="466">
        <f>+I94</f>
        <v>1798</v>
      </c>
      <c r="J152" s="464" t="s">
        <v>11</v>
      </c>
      <c r="K152" s="299"/>
      <c r="L152" s="300">
        <f>+L94</f>
        <v>137320</v>
      </c>
      <c r="M152" s="301"/>
      <c r="N152" s="300">
        <f>+N94</f>
        <v>134116.94</v>
      </c>
      <c r="O152" s="302"/>
    </row>
    <row r="153" spans="1:20" ht="30" hidden="1" customHeight="1" thickBot="1" x14ac:dyDescent="0.45">
      <c r="E153" s="234"/>
      <c r="F153" s="232" t="s">
        <v>17</v>
      </c>
      <c r="G153" s="467">
        <f>+H153/I153</f>
        <v>0.44441673035503376</v>
      </c>
      <c r="H153" s="466">
        <f>+H135</f>
        <v>6396.4900000000007</v>
      </c>
      <c r="I153" s="466">
        <f>+I135</f>
        <v>14393</v>
      </c>
      <c r="J153" s="464" t="s">
        <v>11</v>
      </c>
      <c r="K153" s="125"/>
      <c r="L153" s="300">
        <f>+L135</f>
        <v>1062004</v>
      </c>
      <c r="M153" s="301"/>
      <c r="N153" s="300">
        <f>+N135</f>
        <v>977736.59</v>
      </c>
      <c r="O153" s="303" t="s">
        <v>179</v>
      </c>
    </row>
    <row r="154" spans="1:20" ht="30" hidden="1" customHeight="1" thickBot="1" x14ac:dyDescent="0.45">
      <c r="F154" s="235"/>
      <c r="G154" s="235"/>
      <c r="H154" s="235"/>
      <c r="I154" s="235"/>
      <c r="J154" s="235"/>
      <c r="K154" s="304" t="s">
        <v>178</v>
      </c>
      <c r="L154" s="305">
        <f>SUM(L149:L153)</f>
        <v>1732339</v>
      </c>
      <c r="M154" s="377" t="s">
        <v>178</v>
      </c>
      <c r="N154" s="378">
        <f>SUM(N149:N153)</f>
        <v>1601343.0499999998</v>
      </c>
      <c r="O154" s="306">
        <v>3.66</v>
      </c>
    </row>
    <row r="155" spans="1:20" ht="30" hidden="1" customHeight="1" thickBot="1" x14ac:dyDescent="0.3">
      <c r="K155" s="7"/>
      <c r="L155" s="7"/>
      <c r="M155" s="223"/>
      <c r="N155" s="223"/>
      <c r="O155" s="307">
        <v>3.79</v>
      </c>
    </row>
    <row r="156" spans="1:20" ht="9.9499999999999993" hidden="1" customHeight="1" x14ac:dyDescent="0.2">
      <c r="A156" s="48"/>
      <c r="B156" s="71"/>
      <c r="C156" s="71"/>
      <c r="D156" s="71"/>
      <c r="E156" s="72"/>
      <c r="F156" s="73"/>
      <c r="G156" s="73"/>
      <c r="H156" s="73"/>
      <c r="I156" s="74"/>
      <c r="J156" s="54"/>
      <c r="K156" s="54"/>
      <c r="L156" s="54"/>
      <c r="M156" s="219"/>
      <c r="N156" s="219"/>
      <c r="O156" s="48"/>
    </row>
    <row r="157" spans="1:20" ht="30" hidden="1" customHeight="1" x14ac:dyDescent="0.2">
      <c r="M157" s="224"/>
      <c r="N157" s="224"/>
      <c r="O157" s="296"/>
    </row>
    <row r="158" spans="1:20" ht="30" hidden="1" customHeight="1" x14ac:dyDescent="0.35">
      <c r="C158" s="75" t="s">
        <v>217</v>
      </c>
      <c r="D158" s="75"/>
      <c r="M158" s="224"/>
      <c r="N158" s="224"/>
      <c r="O158" s="296"/>
    </row>
    <row r="159" spans="1:20" ht="30" hidden="1" customHeight="1" x14ac:dyDescent="0.35">
      <c r="C159" s="380">
        <v>43532</v>
      </c>
      <c r="D159" s="75"/>
      <c r="F159" s="483"/>
      <c r="M159" s="224"/>
      <c r="N159" s="224"/>
      <c r="O159" s="296"/>
    </row>
    <row r="160" spans="1:20" ht="30" hidden="1" customHeight="1" x14ac:dyDescent="0.25">
      <c r="C160" s="380">
        <v>43577</v>
      </c>
      <c r="M160" s="224"/>
      <c r="N160" s="224"/>
      <c r="O160" s="296"/>
    </row>
    <row r="161" spans="3:16" ht="30" hidden="1" customHeight="1" x14ac:dyDescent="0.25">
      <c r="C161" s="380">
        <v>43580</v>
      </c>
      <c r="M161" s="224"/>
      <c r="N161" s="224"/>
      <c r="O161" s="296"/>
    </row>
    <row r="162" spans="3:16" ht="30" hidden="1" customHeight="1" x14ac:dyDescent="0.25">
      <c r="C162" s="380">
        <v>43605</v>
      </c>
      <c r="M162" s="224"/>
      <c r="N162" s="224"/>
      <c r="O162" s="296"/>
    </row>
    <row r="163" spans="3:16" ht="30" hidden="1" customHeight="1" x14ac:dyDescent="0.25">
      <c r="C163" s="380">
        <v>43661</v>
      </c>
      <c r="M163" s="224"/>
      <c r="N163" s="224"/>
      <c r="O163" s="296"/>
    </row>
    <row r="164" spans="3:16" ht="30" hidden="1" customHeight="1" x14ac:dyDescent="0.2">
      <c r="M164" s="224"/>
      <c r="N164" s="224"/>
      <c r="O164" s="296"/>
    </row>
    <row r="165" spans="3:16" ht="30" hidden="1" customHeight="1" x14ac:dyDescent="0.2">
      <c r="M165" s="224"/>
      <c r="N165" s="224"/>
      <c r="O165" s="296"/>
    </row>
    <row r="166" spans="3:16" ht="30" hidden="1" customHeight="1" x14ac:dyDescent="0.2">
      <c r="M166" s="224"/>
      <c r="N166" s="224"/>
      <c r="O166" s="296"/>
    </row>
    <row r="167" spans="3:16" ht="30" hidden="1" customHeight="1" thickBot="1" x14ac:dyDescent="0.25">
      <c r="M167" s="224"/>
      <c r="N167" s="224"/>
      <c r="O167" s="296"/>
      <c r="P167" s="503" t="s">
        <v>254</v>
      </c>
    </row>
    <row r="168" spans="3:16" ht="30" hidden="1" customHeight="1" thickBot="1" x14ac:dyDescent="0.25">
      <c r="F168" s="267" t="s">
        <v>10</v>
      </c>
      <c r="G168" s="267"/>
      <c r="H168" s="267"/>
      <c r="I168" s="266">
        <v>200</v>
      </c>
      <c r="L168" s="224"/>
      <c r="M168" s="223" t="s">
        <v>214</v>
      </c>
      <c r="N168" s="223">
        <f>+N135</f>
        <v>977736.59</v>
      </c>
      <c r="P168" s="218">
        <f>+P135+N111+N112+N116+N117+N119+N121</f>
        <v>1077018.1481999999</v>
      </c>
    </row>
    <row r="169" spans="3:16" ht="30" hidden="1" customHeight="1" thickBot="1" x14ac:dyDescent="0.25">
      <c r="F169" s="267" t="s">
        <v>12</v>
      </c>
      <c r="G169" s="267"/>
      <c r="H169" s="267"/>
      <c r="I169" s="266">
        <v>150</v>
      </c>
      <c r="M169" s="223" t="s">
        <v>215</v>
      </c>
      <c r="N169" s="223">
        <v>-207682</v>
      </c>
      <c r="P169" s="218">
        <f>+N169</f>
        <v>-207682</v>
      </c>
    </row>
    <row r="170" spans="3:16" ht="30" hidden="1" customHeight="1" thickBot="1" x14ac:dyDescent="0.25">
      <c r="F170" s="267" t="s">
        <v>13</v>
      </c>
      <c r="G170" s="267"/>
      <c r="H170" s="267"/>
      <c r="I170" s="266">
        <v>100</v>
      </c>
      <c r="M170" s="223" t="s">
        <v>215</v>
      </c>
      <c r="N170" s="223">
        <v>-247620</v>
      </c>
      <c r="P170" s="218">
        <f>+N170</f>
        <v>-247620</v>
      </c>
    </row>
    <row r="171" spans="3:16" ht="30" hidden="1" customHeight="1" thickBot="1" x14ac:dyDescent="0.25">
      <c r="F171" s="267" t="s">
        <v>181</v>
      </c>
      <c r="G171" s="267"/>
      <c r="H171" s="267"/>
      <c r="I171" s="266">
        <v>80</v>
      </c>
      <c r="L171" s="503" t="s">
        <v>253</v>
      </c>
      <c r="M171" s="313" t="s">
        <v>216</v>
      </c>
      <c r="N171" s="313">
        <f>SUM(N168:N170)</f>
        <v>522434.58999999997</v>
      </c>
      <c r="P171" s="218">
        <f>+P168+P169+P170</f>
        <v>621716.14819999994</v>
      </c>
    </row>
    <row r="172" spans="3:16" ht="30" hidden="1" customHeight="1" thickBot="1" x14ac:dyDescent="0.25">
      <c r="F172" s="267" t="s">
        <v>180</v>
      </c>
      <c r="G172" s="267"/>
      <c r="H172" s="267"/>
      <c r="I172" s="266">
        <v>70</v>
      </c>
      <c r="M172" s="224"/>
      <c r="N172" s="224"/>
    </row>
    <row r="173" spans="3:16" ht="30" hidden="1" customHeight="1" thickBot="1" x14ac:dyDescent="0.25">
      <c r="F173" s="267" t="s">
        <v>182</v>
      </c>
      <c r="G173" s="267"/>
      <c r="H173" s="267"/>
      <c r="I173" s="266">
        <v>65</v>
      </c>
      <c r="M173" s="224"/>
      <c r="N173" s="224"/>
    </row>
    <row r="174" spans="3:16" hidden="1" x14ac:dyDescent="0.2">
      <c r="M174" s="224"/>
      <c r="N174" s="224"/>
    </row>
    <row r="175" spans="3:16" hidden="1" x14ac:dyDescent="0.2">
      <c r="M175" s="224"/>
      <c r="N175" s="224"/>
    </row>
    <row r="176" spans="3:16" hidden="1" x14ac:dyDescent="0.2">
      <c r="M176" s="224"/>
      <c r="N176" s="224"/>
    </row>
    <row r="177" spans="1:17" hidden="1" x14ac:dyDescent="0.2">
      <c r="M177" s="224"/>
      <c r="N177" s="224"/>
    </row>
    <row r="178" spans="1:17" hidden="1" x14ac:dyDescent="0.2"/>
    <row r="179" spans="1:17" hidden="1" x14ac:dyDescent="0.2"/>
    <row r="180" spans="1:17" hidden="1" x14ac:dyDescent="0.2"/>
    <row r="181" spans="1:17" ht="30" customHeight="1" x14ac:dyDescent="0.2">
      <c r="A181" s="498">
        <v>2018</v>
      </c>
      <c r="B181" s="498" t="s">
        <v>31</v>
      </c>
      <c r="C181" s="498" t="s">
        <v>255</v>
      </c>
      <c r="D181" s="498" t="s">
        <v>257</v>
      </c>
      <c r="E181" s="506">
        <v>0.21</v>
      </c>
      <c r="F181" s="507" t="s">
        <v>256</v>
      </c>
      <c r="G181" s="519">
        <v>2020</v>
      </c>
      <c r="H181" s="443"/>
      <c r="I181" s="498">
        <v>400</v>
      </c>
      <c r="J181" s="91" t="s">
        <v>11</v>
      </c>
      <c r="K181" s="228">
        <v>85</v>
      </c>
      <c r="L181" s="239">
        <f>+K181*I181</f>
        <v>34000</v>
      </c>
      <c r="M181" s="524">
        <v>64</v>
      </c>
      <c r="N181" s="228">
        <f>+M181*I181</f>
        <v>25600</v>
      </c>
      <c r="O181" s="502"/>
      <c r="P181" s="502"/>
      <c r="Q181" s="502"/>
    </row>
    <row r="183" spans="1:17" ht="30" customHeight="1" x14ac:dyDescent="0.4">
      <c r="F183" s="522"/>
      <c r="G183" s="514"/>
      <c r="H183" s="514"/>
    </row>
  </sheetData>
  <mergeCells count="30">
    <mergeCell ref="A2:D2"/>
    <mergeCell ref="A4:J4"/>
    <mergeCell ref="B23:D23"/>
    <mergeCell ref="B24:D24"/>
    <mergeCell ref="B25:C25"/>
    <mergeCell ref="A27:E27"/>
    <mergeCell ref="A28:E28"/>
    <mergeCell ref="A29:E29"/>
    <mergeCell ref="A34:J34"/>
    <mergeCell ref="B46:D46"/>
    <mergeCell ref="B47:D47"/>
    <mergeCell ref="B48:C48"/>
    <mergeCell ref="A51:E51"/>
    <mergeCell ref="A52:E52"/>
    <mergeCell ref="A57:J57"/>
    <mergeCell ref="B72:D72"/>
    <mergeCell ref="B73:D73"/>
    <mergeCell ref="B74:C74"/>
    <mergeCell ref="A77:E77"/>
    <mergeCell ref="A78:E78"/>
    <mergeCell ref="A83:J83"/>
    <mergeCell ref="B97:D97"/>
    <mergeCell ref="B98:D98"/>
    <mergeCell ref="B99:C99"/>
    <mergeCell ref="A102:E102"/>
    <mergeCell ref="A103:E103"/>
    <mergeCell ref="A108:C108"/>
    <mergeCell ref="A142:E142"/>
    <mergeCell ref="A143:E143"/>
    <mergeCell ref="A144:E144"/>
  </mergeCells>
  <printOptions gridLines="1"/>
  <pageMargins left="0.5" right="0" top="1" bottom="0.25" header="0" footer="0"/>
  <pageSetup paperSize="3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93"/>
  <sheetViews>
    <sheetView zoomScale="60" zoomScaleNormal="60" workbookViewId="0">
      <pane xSplit="10" ySplit="6" topLeftCell="K103" activePane="bottomRight" state="frozen"/>
      <selection pane="topRight" activeCell="I1" sqref="I1"/>
      <selection pane="bottomLeft" activeCell="A6" sqref="A6"/>
      <selection pane="bottomRight" activeCell="Q133" sqref="Q133"/>
    </sheetView>
  </sheetViews>
  <sheetFormatPr defaultRowHeight="12.75" x14ac:dyDescent="0.2"/>
  <cols>
    <col min="1" max="1" width="10.7109375" style="4" customWidth="1"/>
    <col min="2" max="2" width="22.7109375" customWidth="1"/>
    <col min="3" max="3" width="34.140625" customWidth="1"/>
    <col min="4" max="4" width="82.85546875" customWidth="1"/>
    <col min="5" max="5" width="15.5703125" bestFit="1" customWidth="1"/>
    <col min="6" max="6" width="88.140625" customWidth="1"/>
    <col min="7" max="7" width="18.42578125" style="614" customWidth="1"/>
    <col min="8" max="8" width="19.5703125" style="614" customWidth="1"/>
    <col min="9" max="9" width="18" customWidth="1"/>
    <col min="10" max="10" width="11.5703125" customWidth="1"/>
    <col min="11" max="11" width="22.7109375" hidden="1" customWidth="1"/>
    <col min="12" max="12" width="22.5703125" hidden="1" customWidth="1"/>
    <col min="13" max="14" width="25.7109375" customWidth="1"/>
    <col min="15" max="15" width="0" hidden="1" customWidth="1"/>
    <col min="16" max="16" width="19.42578125" customWidth="1"/>
    <col min="17" max="17" width="12.7109375" customWidth="1"/>
    <col min="18" max="18" width="6.5703125" customWidth="1"/>
    <col min="19" max="19" width="15.85546875" customWidth="1"/>
    <col min="20" max="20" width="16.85546875" style="666" bestFit="1" customWidth="1"/>
    <col min="21" max="21" width="17" bestFit="1" customWidth="1"/>
    <col min="22" max="22" width="18.85546875" customWidth="1"/>
  </cols>
  <sheetData>
    <row r="1" spans="1:20" ht="20.100000000000001" customHeight="1" x14ac:dyDescent="0.2">
      <c r="I1" s="454"/>
      <c r="K1" s="454"/>
      <c r="L1" s="454"/>
      <c r="M1" s="454"/>
    </row>
    <row r="2" spans="1:20" ht="35.1" customHeight="1" x14ac:dyDescent="0.5">
      <c r="A2" s="854" t="s">
        <v>261</v>
      </c>
      <c r="B2" s="855"/>
      <c r="C2" s="855"/>
      <c r="D2" s="855"/>
      <c r="F2" s="396" t="s">
        <v>390</v>
      </c>
      <c r="G2" s="396"/>
      <c r="H2" s="396"/>
      <c r="I2" s="330"/>
      <c r="J2" s="331"/>
      <c r="K2" s="613"/>
      <c r="L2" s="454"/>
      <c r="M2" s="453"/>
      <c r="N2" s="1"/>
    </row>
    <row r="3" spans="1:20" ht="9.9499999999999993" customHeight="1" x14ac:dyDescent="0.5">
      <c r="A3" s="39"/>
      <c r="B3" s="40"/>
      <c r="C3" s="76"/>
      <c r="D3" s="76"/>
      <c r="E3" s="76"/>
      <c r="F3" s="76"/>
      <c r="G3" s="615"/>
      <c r="H3" s="615"/>
      <c r="I3" s="76"/>
      <c r="J3" s="76"/>
      <c r="K3" s="42"/>
      <c r="L3" s="42"/>
      <c r="M3" s="42"/>
      <c r="N3" s="42"/>
    </row>
    <row r="4" spans="1:20" ht="35.1" customHeight="1" thickBot="1" x14ac:dyDescent="0.45">
      <c r="A4" s="852" t="s">
        <v>42</v>
      </c>
      <c r="B4" s="852"/>
      <c r="C4" s="852"/>
      <c r="D4" s="853"/>
      <c r="E4" s="853"/>
      <c r="F4" s="853"/>
      <c r="G4" s="853"/>
      <c r="H4" s="862"/>
      <c r="I4" s="853"/>
      <c r="J4" s="853"/>
      <c r="K4" s="55"/>
      <c r="L4" s="55"/>
      <c r="M4" s="1"/>
      <c r="N4" s="1"/>
    </row>
    <row r="5" spans="1:20" ht="24.95" customHeight="1" thickBot="1" x14ac:dyDescent="0.45">
      <c r="A5" s="38"/>
      <c r="B5" s="38"/>
      <c r="C5" s="38"/>
      <c r="E5" s="37" t="s">
        <v>24</v>
      </c>
      <c r="G5" s="616"/>
      <c r="H5" s="407" t="s">
        <v>236</v>
      </c>
      <c r="I5" s="407" t="s">
        <v>235</v>
      </c>
      <c r="J5" s="409"/>
      <c r="K5" s="268" t="s">
        <v>189</v>
      </c>
      <c r="L5" s="278"/>
      <c r="M5" s="268" t="s">
        <v>176</v>
      </c>
      <c r="N5" s="269"/>
      <c r="P5" s="486" t="s">
        <v>236</v>
      </c>
      <c r="Q5" s="486" t="s">
        <v>236</v>
      </c>
      <c r="R5" s="210"/>
    </row>
    <row r="6" spans="1:20" ht="24.95" customHeight="1" thickBot="1" x14ac:dyDescent="0.4">
      <c r="A6" s="37" t="s">
        <v>7</v>
      </c>
      <c r="B6" s="75" t="s">
        <v>0</v>
      </c>
      <c r="C6" s="75" t="s">
        <v>1</v>
      </c>
      <c r="D6" s="75" t="s">
        <v>6</v>
      </c>
      <c r="E6" s="37" t="s">
        <v>25</v>
      </c>
      <c r="F6" s="75" t="s">
        <v>2</v>
      </c>
      <c r="G6" s="408" t="s">
        <v>238</v>
      </c>
      <c r="H6" s="408" t="s">
        <v>237</v>
      </c>
      <c r="I6" s="408" t="s">
        <v>16</v>
      </c>
      <c r="J6" s="410" t="s">
        <v>8</v>
      </c>
      <c r="K6" s="279" t="s">
        <v>3</v>
      </c>
      <c r="L6" s="280" t="s">
        <v>4</v>
      </c>
      <c r="M6" s="276" t="s">
        <v>3</v>
      </c>
      <c r="N6" s="277" t="s">
        <v>4</v>
      </c>
      <c r="P6" s="486" t="s">
        <v>4</v>
      </c>
      <c r="Q6" s="500" t="s">
        <v>252</v>
      </c>
    </row>
    <row r="7" spans="1:20" ht="30" customHeight="1" x14ac:dyDescent="0.25">
      <c r="A7" s="332" t="s">
        <v>83</v>
      </c>
      <c r="B7" s="89" t="s">
        <v>15</v>
      </c>
      <c r="C7" s="89" t="s">
        <v>263</v>
      </c>
      <c r="D7" s="89" t="s">
        <v>329</v>
      </c>
      <c r="E7" s="90">
        <v>0.52</v>
      </c>
      <c r="F7" s="89" t="s">
        <v>264</v>
      </c>
      <c r="G7" s="422">
        <v>44039</v>
      </c>
      <c r="H7" s="146">
        <v>575.07000000000005</v>
      </c>
      <c r="I7" s="412">
        <v>530</v>
      </c>
      <c r="J7" s="147" t="s">
        <v>11</v>
      </c>
      <c r="K7" s="252">
        <v>85</v>
      </c>
      <c r="L7" s="246">
        <f t="shared" ref="L7:L17" si="0">+K7*I7</f>
        <v>45050</v>
      </c>
      <c r="M7" s="275">
        <v>75.180000000000007</v>
      </c>
      <c r="N7" s="275">
        <f>+M7*I7</f>
        <v>39845.4</v>
      </c>
      <c r="P7" s="501">
        <f>+M7*H7</f>
        <v>43233.762600000009</v>
      </c>
      <c r="Q7" s="499">
        <f>+P7/N7</f>
        <v>1.0850377358490568</v>
      </c>
      <c r="R7" s="208"/>
      <c r="S7" s="672">
        <f>+P7-L7</f>
        <v>-1816.2373999999909</v>
      </c>
      <c r="T7" s="672"/>
    </row>
    <row r="8" spans="1:20" s="665" customFormat="1" ht="30" customHeight="1" x14ac:dyDescent="0.25">
      <c r="A8" s="332"/>
      <c r="B8" s="89"/>
      <c r="C8" s="89" t="s">
        <v>263</v>
      </c>
      <c r="D8" s="89" t="s">
        <v>340</v>
      </c>
      <c r="E8" s="90"/>
      <c r="F8" s="89"/>
      <c r="G8" s="655">
        <v>44039</v>
      </c>
      <c r="H8" s="656">
        <v>40</v>
      </c>
      <c r="I8" s="412"/>
      <c r="J8" s="147" t="s">
        <v>11</v>
      </c>
      <c r="K8" s="252">
        <v>120</v>
      </c>
      <c r="L8" s="246">
        <f t="shared" si="0"/>
        <v>0</v>
      </c>
      <c r="M8" s="674">
        <v>117.5</v>
      </c>
      <c r="N8" s="275">
        <f t="shared" ref="N8:N17" si="1">+M8*I8</f>
        <v>0</v>
      </c>
      <c r="P8" s="501">
        <f>+M8*H8</f>
        <v>4700</v>
      </c>
      <c r="Q8" s="499"/>
      <c r="R8" s="208"/>
      <c r="S8" s="673">
        <f t="shared" ref="S8:S19" si="2">+P8-L8</f>
        <v>4700</v>
      </c>
      <c r="T8" s="673"/>
    </row>
    <row r="9" spans="1:20" ht="24.95" customHeight="1" x14ac:dyDescent="0.2">
      <c r="A9" s="527" t="s">
        <v>84</v>
      </c>
      <c r="B9" s="89" t="s">
        <v>15</v>
      </c>
      <c r="C9" s="89" t="s">
        <v>265</v>
      </c>
      <c r="D9" s="89" t="s">
        <v>328</v>
      </c>
      <c r="E9" s="90">
        <v>0.55000000000000004</v>
      </c>
      <c r="F9" s="89" t="s">
        <v>267</v>
      </c>
      <c r="G9" s="411">
        <v>43998</v>
      </c>
      <c r="H9" s="90">
        <v>755.14</v>
      </c>
      <c r="I9" s="414">
        <v>702</v>
      </c>
      <c r="J9" s="91" t="s">
        <v>23</v>
      </c>
      <c r="K9" s="248">
        <v>85</v>
      </c>
      <c r="L9" s="240">
        <f t="shared" si="0"/>
        <v>59670</v>
      </c>
      <c r="M9" s="228">
        <v>68.5</v>
      </c>
      <c r="N9" s="228">
        <f t="shared" si="1"/>
        <v>48087</v>
      </c>
      <c r="P9" s="487">
        <f t="shared" ref="P9:P19" si="3">+M9*H9</f>
        <v>51727.09</v>
      </c>
      <c r="Q9" s="490">
        <f t="shared" ref="Q9:Q19" si="4">+P9/N9</f>
        <v>1.0756980056980057</v>
      </c>
      <c r="S9" s="672">
        <f t="shared" si="2"/>
        <v>-7942.9100000000035</v>
      </c>
      <c r="T9" s="672"/>
    </row>
    <row r="10" spans="1:20" ht="30" customHeight="1" x14ac:dyDescent="0.25">
      <c r="A10" s="332" t="s">
        <v>86</v>
      </c>
      <c r="B10" s="333" t="s">
        <v>15</v>
      </c>
      <c r="C10" s="333" t="s">
        <v>268</v>
      </c>
      <c r="D10" s="333" t="s">
        <v>324</v>
      </c>
      <c r="E10" s="334">
        <v>0.06</v>
      </c>
      <c r="F10" s="333" t="s">
        <v>269</v>
      </c>
      <c r="G10" s="411">
        <v>43995</v>
      </c>
      <c r="H10" s="90">
        <v>57</v>
      </c>
      <c r="I10" s="443">
        <v>57</v>
      </c>
      <c r="J10" s="91" t="s">
        <v>11</v>
      </c>
      <c r="K10" s="248">
        <v>150</v>
      </c>
      <c r="L10" s="239">
        <f t="shared" si="0"/>
        <v>8550</v>
      </c>
      <c r="M10" s="228">
        <v>112.05</v>
      </c>
      <c r="N10" s="228">
        <f t="shared" si="1"/>
        <v>6386.8499999999995</v>
      </c>
      <c r="O10" s="7"/>
      <c r="P10" s="487">
        <f t="shared" si="3"/>
        <v>6386.8499999999995</v>
      </c>
      <c r="Q10" s="490">
        <f t="shared" si="4"/>
        <v>1</v>
      </c>
      <c r="S10" s="672">
        <f t="shared" si="2"/>
        <v>-2163.1500000000005</v>
      </c>
      <c r="T10" s="672"/>
    </row>
    <row r="11" spans="1:20" ht="30" customHeight="1" x14ac:dyDescent="0.25">
      <c r="A11" s="332" t="s">
        <v>90</v>
      </c>
      <c r="B11" s="333" t="s">
        <v>15</v>
      </c>
      <c r="C11" s="333" t="s">
        <v>270</v>
      </c>
      <c r="D11" s="456" t="s">
        <v>325</v>
      </c>
      <c r="E11" s="334">
        <v>0.16</v>
      </c>
      <c r="F11" s="333" t="s">
        <v>271</v>
      </c>
      <c r="G11" s="411">
        <v>43995</v>
      </c>
      <c r="H11" s="90">
        <v>152.94999999999999</v>
      </c>
      <c r="I11" s="443">
        <v>149</v>
      </c>
      <c r="J11" s="91" t="s">
        <v>11</v>
      </c>
      <c r="K11" s="248">
        <v>110</v>
      </c>
      <c r="L11" s="239">
        <f t="shared" si="0"/>
        <v>16390</v>
      </c>
      <c r="M11" s="228">
        <v>80.44</v>
      </c>
      <c r="N11" s="228">
        <f t="shared" si="1"/>
        <v>11985.56</v>
      </c>
      <c r="O11" s="7"/>
      <c r="P11" s="487">
        <f t="shared" si="3"/>
        <v>12303.297999999999</v>
      </c>
      <c r="Q11" s="490">
        <f t="shared" si="4"/>
        <v>1.0265100671140939</v>
      </c>
      <c r="S11" s="672">
        <f t="shared" si="2"/>
        <v>-4086.7020000000011</v>
      </c>
      <c r="T11" s="672"/>
    </row>
    <row r="12" spans="1:20" ht="30" customHeight="1" x14ac:dyDescent="0.25">
      <c r="A12" s="332" t="s">
        <v>93</v>
      </c>
      <c r="B12" s="89" t="s">
        <v>15</v>
      </c>
      <c r="C12" s="89" t="s">
        <v>272</v>
      </c>
      <c r="D12" s="89" t="s">
        <v>327</v>
      </c>
      <c r="E12" s="90">
        <v>0.06</v>
      </c>
      <c r="F12" s="89" t="s">
        <v>273</v>
      </c>
      <c r="G12" s="411">
        <v>43995</v>
      </c>
      <c r="H12" s="90">
        <v>42</v>
      </c>
      <c r="I12" s="91">
        <v>42</v>
      </c>
      <c r="J12" s="91" t="s">
        <v>11</v>
      </c>
      <c r="K12" s="248">
        <v>150</v>
      </c>
      <c r="L12" s="239">
        <f t="shared" si="0"/>
        <v>6300</v>
      </c>
      <c r="M12" s="228">
        <v>112.05</v>
      </c>
      <c r="N12" s="228">
        <f t="shared" si="1"/>
        <v>4706.0999999999995</v>
      </c>
      <c r="O12" s="7"/>
      <c r="P12" s="487">
        <f t="shared" si="3"/>
        <v>4706.0999999999995</v>
      </c>
      <c r="Q12" s="490">
        <f t="shared" si="4"/>
        <v>1</v>
      </c>
      <c r="S12" s="672">
        <f t="shared" si="2"/>
        <v>-1593.9000000000005</v>
      </c>
      <c r="T12" s="672"/>
    </row>
    <row r="13" spans="1:20" ht="30" customHeight="1" x14ac:dyDescent="0.2">
      <c r="A13" s="641" t="s">
        <v>97</v>
      </c>
      <c r="B13" s="184" t="s">
        <v>15</v>
      </c>
      <c r="C13" s="184" t="s">
        <v>274</v>
      </c>
      <c r="D13" s="184" t="s">
        <v>326</v>
      </c>
      <c r="E13" s="185">
        <v>0.1</v>
      </c>
      <c r="F13" s="184" t="s">
        <v>275</v>
      </c>
      <c r="G13" s="424">
        <v>43995</v>
      </c>
      <c r="H13" s="185">
        <v>123.95</v>
      </c>
      <c r="I13" s="91">
        <v>120</v>
      </c>
      <c r="J13" s="91" t="s">
        <v>11</v>
      </c>
      <c r="K13" s="248">
        <v>110</v>
      </c>
      <c r="L13" s="239">
        <f t="shared" si="0"/>
        <v>13200</v>
      </c>
      <c r="M13" s="257">
        <v>74.459999999999994</v>
      </c>
      <c r="N13" s="257">
        <f>+M13*I13</f>
        <v>8935.1999999999989</v>
      </c>
      <c r="P13" s="494">
        <f t="shared" si="3"/>
        <v>9229.3169999999991</v>
      </c>
      <c r="Q13" s="491">
        <f t="shared" si="4"/>
        <v>1.0329166666666667</v>
      </c>
      <c r="S13" s="672">
        <f t="shared" si="2"/>
        <v>-3970.6830000000009</v>
      </c>
      <c r="T13" s="672"/>
    </row>
    <row r="14" spans="1:20" s="533" customFormat="1" ht="30" customHeight="1" x14ac:dyDescent="0.2">
      <c r="A14" s="531" t="s">
        <v>100</v>
      </c>
      <c r="B14" s="537" t="s">
        <v>15</v>
      </c>
      <c r="C14" s="537" t="s">
        <v>278</v>
      </c>
      <c r="D14" s="537" t="s">
        <v>276</v>
      </c>
      <c r="E14" s="91">
        <v>0.35</v>
      </c>
      <c r="F14" s="537" t="s">
        <v>277</v>
      </c>
      <c r="G14" s="630">
        <v>43963</v>
      </c>
      <c r="H14" s="637">
        <v>430</v>
      </c>
      <c r="I14" s="91">
        <v>430</v>
      </c>
      <c r="J14" s="91" t="s">
        <v>11</v>
      </c>
      <c r="K14" s="248">
        <v>110</v>
      </c>
      <c r="L14" s="603">
        <f t="shared" si="0"/>
        <v>47300</v>
      </c>
      <c r="M14" s="228">
        <v>75.180000000000007</v>
      </c>
      <c r="N14" s="603">
        <f t="shared" si="1"/>
        <v>32327.4</v>
      </c>
      <c r="O14" s="91"/>
      <c r="P14" s="228">
        <f t="shared" si="3"/>
        <v>32327.4</v>
      </c>
      <c r="Q14" s="490">
        <f t="shared" si="4"/>
        <v>1</v>
      </c>
      <c r="S14" s="672">
        <f t="shared" si="2"/>
        <v>-14972.599999999999</v>
      </c>
      <c r="T14" s="672"/>
    </row>
    <row r="15" spans="1:20" ht="30" customHeight="1" x14ac:dyDescent="0.2">
      <c r="A15" s="536" t="s">
        <v>103</v>
      </c>
      <c r="B15" s="199" t="s">
        <v>15</v>
      </c>
      <c r="C15" s="199" t="s">
        <v>279</v>
      </c>
      <c r="D15" s="199" t="s">
        <v>266</v>
      </c>
      <c r="E15" s="200">
        <v>0.5</v>
      </c>
      <c r="F15" s="199" t="s">
        <v>280</v>
      </c>
      <c r="G15" s="423">
        <v>43984</v>
      </c>
      <c r="H15" s="200">
        <v>268.88</v>
      </c>
      <c r="I15" s="91">
        <v>290</v>
      </c>
      <c r="J15" s="91" t="s">
        <v>11</v>
      </c>
      <c r="K15" s="248">
        <v>95</v>
      </c>
      <c r="L15" s="239">
        <f t="shared" si="0"/>
        <v>27550</v>
      </c>
      <c r="M15" s="528">
        <v>75.180000000000007</v>
      </c>
      <c r="N15" s="528">
        <f t="shared" si="1"/>
        <v>21802.2</v>
      </c>
      <c r="P15" s="529">
        <f t="shared" si="3"/>
        <v>20214.398400000002</v>
      </c>
      <c r="Q15" s="530">
        <f t="shared" si="4"/>
        <v>0.92717241379310356</v>
      </c>
      <c r="S15" s="672">
        <f t="shared" si="2"/>
        <v>-7335.6015999999981</v>
      </c>
      <c r="T15" s="672"/>
    </row>
    <row r="16" spans="1:20" ht="30" customHeight="1" x14ac:dyDescent="0.2">
      <c r="A16" s="88" t="s">
        <v>281</v>
      </c>
      <c r="B16" s="89" t="s">
        <v>15</v>
      </c>
      <c r="C16" s="89" t="s">
        <v>282</v>
      </c>
      <c r="D16" s="89" t="s">
        <v>283</v>
      </c>
      <c r="E16" s="90">
        <v>0.2</v>
      </c>
      <c r="F16" s="184" t="s">
        <v>275</v>
      </c>
      <c r="G16" s="411">
        <v>43963</v>
      </c>
      <c r="H16" s="90">
        <v>185.94</v>
      </c>
      <c r="I16" s="91">
        <v>180</v>
      </c>
      <c r="J16" s="91" t="s">
        <v>11</v>
      </c>
      <c r="K16" s="248">
        <v>110</v>
      </c>
      <c r="L16" s="239">
        <f t="shared" si="0"/>
        <v>19800</v>
      </c>
      <c r="M16" s="228">
        <v>84.81</v>
      </c>
      <c r="N16" s="228">
        <f t="shared" si="1"/>
        <v>15265.800000000001</v>
      </c>
      <c r="O16" s="98"/>
      <c r="P16" s="228">
        <f t="shared" si="3"/>
        <v>15769.571400000001</v>
      </c>
      <c r="Q16" s="490">
        <f t="shared" si="4"/>
        <v>1.0329999999999999</v>
      </c>
      <c r="S16" s="672">
        <f t="shared" si="2"/>
        <v>-4030.4285999999993</v>
      </c>
      <c r="T16" s="672"/>
    </row>
    <row r="17" spans="1:22" ht="30" customHeight="1" x14ac:dyDescent="0.2">
      <c r="A17" s="332" t="s">
        <v>284</v>
      </c>
      <c r="B17" s="333" t="s">
        <v>15</v>
      </c>
      <c r="C17" s="333" t="s">
        <v>285</v>
      </c>
      <c r="D17" s="333" t="s">
        <v>286</v>
      </c>
      <c r="E17" s="334">
        <v>0.2</v>
      </c>
      <c r="F17" s="89" t="s">
        <v>287</v>
      </c>
      <c r="G17" s="431">
        <v>43984</v>
      </c>
      <c r="H17" s="334">
        <v>221.55</v>
      </c>
      <c r="I17" s="443">
        <v>215</v>
      </c>
      <c r="J17" s="91" t="s">
        <v>11</v>
      </c>
      <c r="K17" s="248">
        <v>110</v>
      </c>
      <c r="L17" s="239">
        <f t="shared" si="0"/>
        <v>23650</v>
      </c>
      <c r="M17" s="228">
        <v>72.59</v>
      </c>
      <c r="N17" s="228">
        <f t="shared" si="1"/>
        <v>15606.85</v>
      </c>
      <c r="O17" s="98"/>
      <c r="P17" s="228">
        <f t="shared" si="3"/>
        <v>16082.314500000002</v>
      </c>
      <c r="Q17" s="490">
        <f t="shared" si="4"/>
        <v>1.0304651162790699</v>
      </c>
      <c r="S17" s="672">
        <f t="shared" si="2"/>
        <v>-7567.6854999999978</v>
      </c>
      <c r="T17" s="672">
        <f>SUM(S7:S17)</f>
        <v>-50779.898099999999</v>
      </c>
      <c r="U17" s="223">
        <f>SUM(L7:L17)</f>
        <v>267460</v>
      </c>
      <c r="V17" s="223">
        <f>SUM(P7:P17)</f>
        <v>216680.10190000004</v>
      </c>
    </row>
    <row r="18" spans="1:22" ht="36" customHeight="1" x14ac:dyDescent="0.2">
      <c r="A18" s="88" t="s">
        <v>288</v>
      </c>
      <c r="B18" s="597" t="s">
        <v>5</v>
      </c>
      <c r="C18" s="597" t="s">
        <v>289</v>
      </c>
      <c r="D18" s="597" t="s">
        <v>290</v>
      </c>
      <c r="E18" s="598">
        <v>0.16</v>
      </c>
      <c r="F18" s="597" t="s">
        <v>291</v>
      </c>
      <c r="G18" s="599">
        <v>44000</v>
      </c>
      <c r="H18" s="334">
        <v>132.87</v>
      </c>
      <c r="I18" s="600">
        <v>204</v>
      </c>
      <c r="J18" s="600" t="s">
        <v>11</v>
      </c>
      <c r="K18" s="601">
        <v>110</v>
      </c>
      <c r="L18" s="535">
        <f>+K18*I18</f>
        <v>22440</v>
      </c>
      <c r="M18" s="532">
        <v>80.44</v>
      </c>
      <c r="N18" s="532">
        <f>+M18*I18</f>
        <v>16409.759999999998</v>
      </c>
      <c r="O18" s="602"/>
      <c r="P18" s="532">
        <f t="shared" si="3"/>
        <v>10688.0628</v>
      </c>
      <c r="Q18" s="534">
        <f t="shared" si="4"/>
        <v>0.65132352941176475</v>
      </c>
      <c r="S18" s="672">
        <f t="shared" si="2"/>
        <v>-11751.9372</v>
      </c>
      <c r="T18" s="672"/>
    </row>
    <row r="19" spans="1:22" ht="30" customHeight="1" thickBot="1" x14ac:dyDescent="0.25">
      <c r="A19" s="718" t="s">
        <v>292</v>
      </c>
      <c r="B19" s="719" t="s">
        <v>5</v>
      </c>
      <c r="C19" s="719" t="s">
        <v>294</v>
      </c>
      <c r="D19" s="719" t="s">
        <v>295</v>
      </c>
      <c r="E19" s="90">
        <v>0.22</v>
      </c>
      <c r="F19" s="719" t="s">
        <v>296</v>
      </c>
      <c r="G19" s="639">
        <v>44000</v>
      </c>
      <c r="H19" s="668">
        <v>35</v>
      </c>
      <c r="I19" s="186">
        <v>35</v>
      </c>
      <c r="J19" s="186" t="s">
        <v>11</v>
      </c>
      <c r="K19" s="257">
        <v>200</v>
      </c>
      <c r="L19" s="720">
        <f>+K19*I19</f>
        <v>7000</v>
      </c>
      <c r="M19" s="257">
        <v>190</v>
      </c>
      <c r="N19" s="721">
        <f>+M19*I19</f>
        <v>6650</v>
      </c>
      <c r="O19" s="722"/>
      <c r="P19" s="721">
        <f t="shared" si="3"/>
        <v>6650</v>
      </c>
      <c r="Q19" s="723">
        <f t="shared" si="4"/>
        <v>1</v>
      </c>
      <c r="S19" s="672">
        <f t="shared" si="2"/>
        <v>-350</v>
      </c>
      <c r="T19" s="672">
        <f>SUM(S18:S19)</f>
        <v>-12101.9372</v>
      </c>
    </row>
    <row r="20" spans="1:22" ht="30" customHeight="1" thickBot="1" x14ac:dyDescent="0.25">
      <c r="A20" s="253"/>
      <c r="B20" s="86"/>
      <c r="C20" s="86"/>
      <c r="D20" s="86"/>
      <c r="E20" s="254"/>
      <c r="F20" s="86"/>
      <c r="G20" s="267"/>
      <c r="H20" s="638">
        <f>SUM(H7:H19)</f>
        <v>3020.3500000000004</v>
      </c>
      <c r="I20" s="261">
        <f>SUM(I7:I19)</f>
        <v>2954</v>
      </c>
      <c r="J20" s="262" t="s">
        <v>11</v>
      </c>
      <c r="K20" s="258" t="s">
        <v>177</v>
      </c>
      <c r="L20" s="258">
        <f>SUM(L7:L19)</f>
        <v>296900</v>
      </c>
      <c r="M20" s="258" t="s">
        <v>177</v>
      </c>
      <c r="N20" s="258">
        <f>SUM(N7:O19)</f>
        <v>228008.12000000002</v>
      </c>
      <c r="O20" s="552"/>
      <c r="P20" s="258">
        <f>SUM(P7:P19)</f>
        <v>234018.16470000002</v>
      </c>
      <c r="Q20" s="492">
        <f>+P20/N20</f>
        <v>1.0263589064284202</v>
      </c>
    </row>
    <row r="21" spans="1:22" ht="30" customHeight="1" thickBot="1" x14ac:dyDescent="0.3">
      <c r="A21" s="321" t="s">
        <v>106</v>
      </c>
      <c r="B21" s="322" t="s">
        <v>187</v>
      </c>
      <c r="C21" s="323"/>
      <c r="D21" s="323"/>
      <c r="E21" s="22"/>
      <c r="F21" s="86"/>
      <c r="G21" s="253"/>
      <c r="H21" s="253"/>
      <c r="I21" s="80"/>
      <c r="J21" s="10"/>
      <c r="K21" s="80"/>
      <c r="L21" s="80"/>
      <c r="M21" s="218"/>
      <c r="N21" s="751"/>
    </row>
    <row r="22" spans="1:22" ht="30" customHeight="1" thickBot="1" x14ac:dyDescent="0.4">
      <c r="A22" s="28"/>
      <c r="B22" s="21"/>
      <c r="C22" s="21"/>
      <c r="D22" s="2"/>
      <c r="E22" s="2"/>
      <c r="F22" s="131" t="s">
        <v>47</v>
      </c>
      <c r="G22" s="617"/>
      <c r="H22" s="617"/>
      <c r="I22" s="122" t="s">
        <v>8</v>
      </c>
      <c r="J22" s="122" t="s">
        <v>3</v>
      </c>
      <c r="K22" s="270" t="s">
        <v>3</v>
      </c>
      <c r="L22" s="124" t="s">
        <v>4</v>
      </c>
      <c r="M22" s="282" t="s">
        <v>3</v>
      </c>
      <c r="N22" s="283" t="s">
        <v>4</v>
      </c>
    </row>
    <row r="23" spans="1:22" ht="30" customHeight="1" thickTop="1" x14ac:dyDescent="0.25">
      <c r="A23" s="28"/>
      <c r="B23" s="849" t="s">
        <v>48</v>
      </c>
      <c r="C23" s="850"/>
      <c r="D23" s="851"/>
      <c r="E23" s="2"/>
      <c r="F23" s="134" t="s">
        <v>61</v>
      </c>
      <c r="G23" s="618"/>
      <c r="H23" s="618"/>
      <c r="I23" s="139">
        <v>3500</v>
      </c>
      <c r="J23" s="91" t="s">
        <v>9</v>
      </c>
      <c r="K23" s="239">
        <v>2.5</v>
      </c>
      <c r="L23" s="272">
        <f t="shared" ref="L23:L28" si="5">+K23*I23</f>
        <v>8750</v>
      </c>
      <c r="M23" s="284">
        <v>2.0499999999999998</v>
      </c>
      <c r="N23" s="275">
        <f t="shared" ref="N23:N28" si="6">+M23*I23</f>
        <v>7174.9999999999991</v>
      </c>
    </row>
    <row r="24" spans="1:22" ht="30" customHeight="1" thickBot="1" x14ac:dyDescent="0.3">
      <c r="A24" s="28"/>
      <c r="B24" s="846" t="s">
        <v>49</v>
      </c>
      <c r="C24" s="847"/>
      <c r="D24" s="848"/>
      <c r="E24" s="2"/>
      <c r="F24" s="134" t="s">
        <v>62</v>
      </c>
      <c r="G24" s="618"/>
      <c r="H24" s="618"/>
      <c r="I24" s="139">
        <v>7500</v>
      </c>
      <c r="J24" s="91" t="s">
        <v>9</v>
      </c>
      <c r="K24" s="239">
        <v>1.5</v>
      </c>
      <c r="L24" s="272">
        <f t="shared" si="5"/>
        <v>11250</v>
      </c>
      <c r="M24" s="271">
        <v>1.55</v>
      </c>
      <c r="N24" s="228">
        <f t="shared" si="6"/>
        <v>11625</v>
      </c>
    </row>
    <row r="25" spans="1:22" ht="30" customHeight="1" thickTop="1" thickBot="1" x14ac:dyDescent="0.3">
      <c r="A25" s="28"/>
      <c r="B25" s="844"/>
      <c r="C25" s="845"/>
      <c r="D25" s="79"/>
      <c r="E25" s="2"/>
      <c r="F25" s="134" t="s">
        <v>10</v>
      </c>
      <c r="G25" s="618"/>
      <c r="H25" s="618"/>
      <c r="I25" s="139">
        <v>25</v>
      </c>
      <c r="J25" s="91" t="s">
        <v>11</v>
      </c>
      <c r="K25" s="239">
        <v>200</v>
      </c>
      <c r="L25" s="272">
        <f t="shared" si="5"/>
        <v>5000</v>
      </c>
      <c r="M25" s="271">
        <v>190</v>
      </c>
      <c r="N25" s="228">
        <f t="shared" si="6"/>
        <v>4750</v>
      </c>
    </row>
    <row r="26" spans="1:22" ht="30" customHeight="1" thickBot="1" x14ac:dyDescent="0.4">
      <c r="A26" s="28"/>
      <c r="B26" s="75"/>
      <c r="C26" s="75"/>
      <c r="D26" s="137" t="s">
        <v>76</v>
      </c>
      <c r="E26" s="87"/>
      <c r="F26" s="136" t="s">
        <v>12</v>
      </c>
      <c r="G26" s="618"/>
      <c r="H26" s="618"/>
      <c r="I26" s="139">
        <v>75</v>
      </c>
      <c r="J26" s="91" t="s">
        <v>11</v>
      </c>
      <c r="K26" s="239">
        <v>150</v>
      </c>
      <c r="L26" s="272">
        <f t="shared" si="5"/>
        <v>11250</v>
      </c>
      <c r="M26" s="271">
        <v>140</v>
      </c>
      <c r="N26" s="228">
        <f t="shared" si="6"/>
        <v>10500</v>
      </c>
    </row>
    <row r="27" spans="1:22" ht="30" customHeight="1" x14ac:dyDescent="0.2">
      <c r="F27" s="134" t="s">
        <v>13</v>
      </c>
      <c r="G27" s="618"/>
      <c r="H27" s="618"/>
      <c r="I27" s="139">
        <v>150</v>
      </c>
      <c r="J27" s="91" t="s">
        <v>11</v>
      </c>
      <c r="K27" s="239">
        <v>100</v>
      </c>
      <c r="L27" s="272">
        <f t="shared" si="5"/>
        <v>15000</v>
      </c>
      <c r="M27" s="271">
        <v>95</v>
      </c>
      <c r="N27" s="228">
        <f t="shared" si="6"/>
        <v>14250</v>
      </c>
    </row>
    <row r="28" spans="1:22" ht="30" customHeight="1" thickBot="1" x14ac:dyDescent="0.3">
      <c r="A28" s="860" t="s">
        <v>317</v>
      </c>
      <c r="B28" s="861"/>
      <c r="C28" s="861"/>
      <c r="D28" s="861"/>
      <c r="E28" s="861"/>
      <c r="F28" s="135" t="s">
        <v>19</v>
      </c>
      <c r="G28" s="619"/>
      <c r="H28" s="619"/>
      <c r="I28" s="140">
        <v>250</v>
      </c>
      <c r="J28" s="142" t="s">
        <v>11</v>
      </c>
      <c r="K28" s="241">
        <v>80</v>
      </c>
      <c r="L28" s="273">
        <f t="shared" si="5"/>
        <v>20000</v>
      </c>
      <c r="M28" s="271">
        <v>90</v>
      </c>
      <c r="N28" s="228">
        <f t="shared" si="6"/>
        <v>22500</v>
      </c>
    </row>
    <row r="29" spans="1:22" ht="30" customHeight="1" thickBot="1" x14ac:dyDescent="0.3">
      <c r="A29" s="856" t="s">
        <v>306</v>
      </c>
      <c r="B29" s="855"/>
      <c r="C29" s="855"/>
      <c r="D29" s="855"/>
      <c r="E29" s="855"/>
      <c r="F29" s="86"/>
      <c r="G29" s="253"/>
      <c r="H29" s="253"/>
      <c r="I29" s="225"/>
      <c r="J29" s="226"/>
      <c r="K29" s="258" t="s">
        <v>177</v>
      </c>
      <c r="L29" s="258">
        <f>SUM(L23:L28)</f>
        <v>71250</v>
      </c>
      <c r="M29" s="274" t="s">
        <v>177</v>
      </c>
      <c r="N29" s="227">
        <f>SUM(N23:N28)</f>
        <v>70800</v>
      </c>
    </row>
    <row r="30" spans="1:22" ht="9.9499999999999993" customHeight="1" x14ac:dyDescent="0.25">
      <c r="A30" s="81"/>
      <c r="B30" s="82"/>
      <c r="C30" s="82"/>
      <c r="F30" s="21"/>
      <c r="G30" s="28"/>
      <c r="H30" s="28"/>
      <c r="I30" s="7"/>
      <c r="J30" s="7"/>
      <c r="K30" s="7"/>
      <c r="L30" s="80"/>
      <c r="M30" s="218"/>
      <c r="N30" s="218"/>
    </row>
    <row r="31" spans="1:22" ht="9.9499999999999993" customHeight="1" x14ac:dyDescent="0.25">
      <c r="A31" s="34"/>
      <c r="B31" s="44"/>
      <c r="C31" s="44"/>
      <c r="D31" s="45"/>
      <c r="E31" s="46"/>
      <c r="F31" s="46"/>
      <c r="G31" s="620"/>
      <c r="H31" s="620"/>
      <c r="I31" s="46"/>
      <c r="J31" s="46"/>
      <c r="K31" s="47"/>
      <c r="L31" s="76"/>
      <c r="M31" s="219"/>
      <c r="N31" s="219"/>
    </row>
    <row r="32" spans="1:22" ht="35.1" customHeight="1" x14ac:dyDescent="0.5">
      <c r="A32" s="43" t="s">
        <v>262</v>
      </c>
      <c r="B32" s="82"/>
      <c r="C32" s="82"/>
      <c r="F32" s="396" t="str">
        <f>+F2</f>
        <v>UPDATED 11/18/2020 ERN</v>
      </c>
      <c r="G32" s="396"/>
      <c r="H32" s="396"/>
      <c r="I32" s="7"/>
      <c r="J32" s="7"/>
      <c r="K32" s="7"/>
      <c r="L32" s="80"/>
      <c r="M32" s="218"/>
      <c r="N32" s="218"/>
    </row>
    <row r="33" spans="1:20" ht="9.9499999999999993" customHeight="1" x14ac:dyDescent="0.25">
      <c r="A33" s="34"/>
      <c r="B33" s="44"/>
      <c r="C33" s="44"/>
      <c r="D33" s="45"/>
      <c r="E33" s="46"/>
      <c r="F33" s="46"/>
      <c r="G33" s="620"/>
      <c r="H33" s="620"/>
      <c r="I33" s="46"/>
      <c r="J33" s="46"/>
      <c r="K33" s="47"/>
      <c r="L33" s="76"/>
      <c r="M33" s="219"/>
      <c r="N33" s="219"/>
    </row>
    <row r="34" spans="1:20" ht="35.1" customHeight="1" thickBot="1" x14ac:dyDescent="0.45">
      <c r="A34" s="852" t="s">
        <v>43</v>
      </c>
      <c r="B34" s="852"/>
      <c r="C34" s="852"/>
      <c r="D34" s="853"/>
      <c r="E34" s="853"/>
      <c r="F34" s="853"/>
      <c r="G34" s="853"/>
      <c r="H34" s="853"/>
      <c r="I34" s="853"/>
      <c r="J34" s="853"/>
      <c r="K34" s="55"/>
      <c r="L34" s="55"/>
      <c r="M34" s="220"/>
      <c r="N34" s="220"/>
      <c r="O34" s="105"/>
    </row>
    <row r="35" spans="1:20" ht="24.95" customHeight="1" thickBot="1" x14ac:dyDescent="0.45">
      <c r="A35" s="38"/>
      <c r="B35" s="38"/>
      <c r="C35" s="38"/>
      <c r="E35" s="37" t="s">
        <v>24</v>
      </c>
      <c r="G35" s="616"/>
      <c r="H35" s="407" t="s">
        <v>236</v>
      </c>
      <c r="I35" s="407" t="s">
        <v>235</v>
      </c>
      <c r="J35" s="409"/>
      <c r="K35" s="268" t="s">
        <v>189</v>
      </c>
      <c r="L35" s="278"/>
      <c r="M35" s="268" t="s">
        <v>176</v>
      </c>
      <c r="N35" s="269"/>
      <c r="O35" s="105"/>
      <c r="P35" s="486" t="s">
        <v>236</v>
      </c>
      <c r="Q35" s="486" t="s">
        <v>236</v>
      </c>
    </row>
    <row r="36" spans="1:20" ht="24.95" customHeight="1" thickBot="1" x14ac:dyDescent="0.4">
      <c r="A36" s="37" t="s">
        <v>7</v>
      </c>
      <c r="B36" s="75" t="s">
        <v>0</v>
      </c>
      <c r="C36" s="75" t="s">
        <v>1</v>
      </c>
      <c r="D36" s="75" t="s">
        <v>6</v>
      </c>
      <c r="E36" s="37" t="s">
        <v>25</v>
      </c>
      <c r="F36" s="75" t="s">
        <v>2</v>
      </c>
      <c r="G36" s="408" t="s">
        <v>238</v>
      </c>
      <c r="H36" s="408" t="s">
        <v>237</v>
      </c>
      <c r="I36" s="408" t="s">
        <v>16</v>
      </c>
      <c r="J36" s="410" t="s">
        <v>8</v>
      </c>
      <c r="K36" s="279" t="s">
        <v>3</v>
      </c>
      <c r="L36" s="280" t="s">
        <v>4</v>
      </c>
      <c r="M36" s="276" t="s">
        <v>3</v>
      </c>
      <c r="N36" s="277" t="s">
        <v>4</v>
      </c>
      <c r="O36" s="105"/>
      <c r="P36" s="486" t="s">
        <v>4</v>
      </c>
      <c r="Q36" s="500" t="s">
        <v>252</v>
      </c>
    </row>
    <row r="37" spans="1:20" s="2" customFormat="1" ht="36" customHeight="1" x14ac:dyDescent="0.25">
      <c r="A37" s="631" t="s">
        <v>219</v>
      </c>
      <c r="B37" s="632" t="s">
        <v>32</v>
      </c>
      <c r="C37" s="632" t="s">
        <v>304</v>
      </c>
      <c r="D37" s="632" t="s">
        <v>297</v>
      </c>
      <c r="E37" s="633">
        <v>1.2</v>
      </c>
      <c r="F37" s="632" t="s">
        <v>298</v>
      </c>
      <c r="G37" s="875" t="s">
        <v>323</v>
      </c>
      <c r="H37" s="876"/>
      <c r="I37" s="634">
        <v>830</v>
      </c>
      <c r="J37" s="373" t="s">
        <v>11</v>
      </c>
      <c r="K37" s="371">
        <v>85</v>
      </c>
      <c r="L37" s="371">
        <f>+K37*I37</f>
        <v>70550</v>
      </c>
      <c r="M37" s="358">
        <v>77.81</v>
      </c>
      <c r="N37" s="358">
        <f>+M37*I37</f>
        <v>64582.3</v>
      </c>
      <c r="O37" s="611"/>
      <c r="P37" s="635">
        <f>+M37*H37</f>
        <v>0</v>
      </c>
      <c r="Q37" s="636">
        <f>+P37/N37</f>
        <v>0</v>
      </c>
      <c r="R37" s="208"/>
      <c r="T37" s="667"/>
    </row>
    <row r="38" spans="1:20" s="2" customFormat="1" ht="36" customHeight="1" x14ac:dyDescent="0.25">
      <c r="A38" s="332" t="s">
        <v>194</v>
      </c>
      <c r="B38" s="333" t="s">
        <v>32</v>
      </c>
      <c r="C38" s="333" t="s">
        <v>303</v>
      </c>
      <c r="D38" s="333" t="s">
        <v>299</v>
      </c>
      <c r="E38" s="334">
        <v>0.6</v>
      </c>
      <c r="F38" s="333" t="s">
        <v>318</v>
      </c>
      <c r="G38" s="655">
        <v>44011</v>
      </c>
      <c r="H38" s="656">
        <v>271.94</v>
      </c>
      <c r="I38" s="461">
        <v>300</v>
      </c>
      <c r="J38" s="91" t="s">
        <v>11</v>
      </c>
      <c r="K38" s="281">
        <v>95</v>
      </c>
      <c r="L38" s="281">
        <f>+K38*I38</f>
        <v>28500</v>
      </c>
      <c r="M38" s="275">
        <v>85.61</v>
      </c>
      <c r="N38" s="275">
        <f>+M38*I38</f>
        <v>25683</v>
      </c>
      <c r="O38" s="702"/>
      <c r="P38" s="487">
        <f>+M38*H38</f>
        <v>23280.7834</v>
      </c>
      <c r="Q38" s="490">
        <f>+P38/N38</f>
        <v>0.90646666666666664</v>
      </c>
      <c r="R38" s="208"/>
      <c r="S38" s="672">
        <f t="shared" ref="S38" si="7">+P38-L38</f>
        <v>-5219.2165999999997</v>
      </c>
      <c r="T38" s="667"/>
    </row>
    <row r="39" spans="1:20" s="2" customFormat="1" ht="23.25" customHeight="1" x14ac:dyDescent="0.25">
      <c r="A39" s="641"/>
      <c r="B39" s="692"/>
      <c r="C39" s="692"/>
      <c r="D39" s="692"/>
      <c r="E39" s="693"/>
      <c r="F39" s="692" t="s">
        <v>300</v>
      </c>
      <c r="G39" s="424"/>
      <c r="H39" s="185"/>
      <c r="I39" s="462"/>
      <c r="J39" s="186"/>
      <c r="K39" s="263"/>
      <c r="L39" s="263"/>
      <c r="M39" s="528"/>
      <c r="N39" s="528"/>
      <c r="O39" s="105"/>
      <c r="P39" s="494"/>
      <c r="Q39" s="491"/>
      <c r="R39" s="208"/>
      <c r="T39" s="667"/>
    </row>
    <row r="40" spans="1:20" s="703" customFormat="1" ht="35.1" customHeight="1" x14ac:dyDescent="0.25">
      <c r="A40" s="332" t="s">
        <v>380</v>
      </c>
      <c r="B40" s="333" t="s">
        <v>32</v>
      </c>
      <c r="C40" s="333" t="s">
        <v>303</v>
      </c>
      <c r="D40" s="333" t="s">
        <v>299</v>
      </c>
      <c r="E40" s="334">
        <v>0.6</v>
      </c>
      <c r="F40" s="333" t="s">
        <v>373</v>
      </c>
      <c r="G40" s="731">
        <v>44117</v>
      </c>
      <c r="H40" s="732">
        <f>219.83</f>
        <v>219.83</v>
      </c>
      <c r="I40" s="461">
        <v>205</v>
      </c>
      <c r="J40" s="443" t="s">
        <v>11</v>
      </c>
      <c r="K40" s="733">
        <v>90</v>
      </c>
      <c r="L40" s="733">
        <f>+K40*I40</f>
        <v>18450</v>
      </c>
      <c r="M40" s="674">
        <v>85.61</v>
      </c>
      <c r="N40" s="674">
        <f>+M40*I40</f>
        <v>17550.05</v>
      </c>
      <c r="O40" s="734"/>
      <c r="P40" s="735">
        <f>+M40*H40</f>
        <v>18819.6463</v>
      </c>
      <c r="Q40" s="679">
        <f>+P40/N40</f>
        <v>1.0723414634146342</v>
      </c>
      <c r="R40" s="208"/>
    </row>
    <row r="41" spans="1:20" s="696" customFormat="1" ht="35.1" customHeight="1" x14ac:dyDescent="0.25">
      <c r="A41" s="641" t="s">
        <v>218</v>
      </c>
      <c r="B41" s="692" t="s">
        <v>32</v>
      </c>
      <c r="C41" s="736" t="s">
        <v>364</v>
      </c>
      <c r="D41" s="692" t="s">
        <v>365</v>
      </c>
      <c r="E41" s="693">
        <v>0.6</v>
      </c>
      <c r="F41" s="333" t="s">
        <v>305</v>
      </c>
      <c r="G41" s="737">
        <v>44119</v>
      </c>
      <c r="H41" s="693">
        <f>204.49+42.65</f>
        <v>247.14000000000001</v>
      </c>
      <c r="I41" s="462">
        <v>205</v>
      </c>
      <c r="J41" s="335" t="s">
        <v>11</v>
      </c>
      <c r="K41" s="738">
        <v>90</v>
      </c>
      <c r="L41" s="733">
        <f>+K41*I41</f>
        <v>18450</v>
      </c>
      <c r="M41" s="739">
        <v>85.61</v>
      </c>
      <c r="N41" s="674">
        <f>+M41*I41</f>
        <v>17550.05</v>
      </c>
      <c r="O41" s="734"/>
      <c r="P41" s="735">
        <f>+M41*H41</f>
        <v>21157.6554</v>
      </c>
      <c r="Q41" s="679">
        <f>+P41/N41</f>
        <v>1.2055609756097561</v>
      </c>
      <c r="R41" s="208"/>
    </row>
    <row r="42" spans="1:20" s="669" customFormat="1" ht="36" customHeight="1" x14ac:dyDescent="0.25">
      <c r="A42" s="332" t="s">
        <v>186</v>
      </c>
      <c r="B42" s="333" t="s">
        <v>158</v>
      </c>
      <c r="C42" s="333" t="s">
        <v>161</v>
      </c>
      <c r="D42" s="333" t="s">
        <v>345</v>
      </c>
      <c r="E42" s="334"/>
      <c r="F42" s="333" t="s">
        <v>346</v>
      </c>
      <c r="G42" s="431">
        <v>44075</v>
      </c>
      <c r="H42" s="334">
        <v>111</v>
      </c>
      <c r="I42" s="461">
        <v>105</v>
      </c>
      <c r="J42" s="443" t="s">
        <v>11</v>
      </c>
      <c r="K42" s="328"/>
      <c r="L42" s="328"/>
      <c r="M42" s="677">
        <v>95</v>
      </c>
      <c r="N42" s="677">
        <f>+M42*I42</f>
        <v>9975</v>
      </c>
      <c r="O42" s="698"/>
      <c r="P42" s="338">
        <f>+M42*H42</f>
        <v>10545</v>
      </c>
      <c r="Q42" s="649">
        <f>+P42/N42</f>
        <v>1.0571428571428572</v>
      </c>
      <c r="R42" s="208"/>
    </row>
    <row r="43" spans="1:20" s="2" customFormat="1" ht="36" customHeight="1" thickBot="1" x14ac:dyDescent="0.3">
      <c r="A43" s="332" t="s">
        <v>301</v>
      </c>
      <c r="B43" s="333" t="s">
        <v>158</v>
      </c>
      <c r="C43" s="333" t="s">
        <v>81</v>
      </c>
      <c r="D43" s="333" t="s">
        <v>302</v>
      </c>
      <c r="E43" s="334">
        <v>0.13</v>
      </c>
      <c r="F43" s="333" t="s">
        <v>305</v>
      </c>
      <c r="G43" s="700">
        <v>44075</v>
      </c>
      <c r="H43" s="701">
        <v>63.95</v>
      </c>
      <c r="I43" s="462">
        <v>61</v>
      </c>
      <c r="J43" s="335" t="s">
        <v>11</v>
      </c>
      <c r="K43" s="337">
        <v>160</v>
      </c>
      <c r="L43" s="337">
        <f>+K43*I43</f>
        <v>9760</v>
      </c>
      <c r="M43" s="338">
        <v>135</v>
      </c>
      <c r="N43" s="338">
        <f>+M43*I43</f>
        <v>8235</v>
      </c>
      <c r="O43" s="699"/>
      <c r="P43" s="338">
        <f>+M43*H43</f>
        <v>8633.25</v>
      </c>
      <c r="Q43" s="649">
        <f>+P43/N43</f>
        <v>1.048360655737705</v>
      </c>
      <c r="R43" s="208"/>
      <c r="T43" s="667"/>
    </row>
    <row r="44" spans="1:20" ht="30" customHeight="1" thickBot="1" x14ac:dyDescent="0.3">
      <c r="A44" s="28"/>
      <c r="B44" s="21"/>
      <c r="C44" s="21"/>
      <c r="D44" s="21"/>
      <c r="E44" s="22"/>
      <c r="F44" s="82"/>
      <c r="G44" s="621"/>
      <c r="H44" s="638">
        <f>+H38+H40+H41+H42+H43</f>
        <v>913.86</v>
      </c>
      <c r="I44" s="261">
        <f>SUM(I38:I43)</f>
        <v>876</v>
      </c>
      <c r="J44" s="262" t="s">
        <v>11</v>
      </c>
      <c r="K44" s="258" t="s">
        <v>177</v>
      </c>
      <c r="L44" s="258">
        <f>SUM(L37:L38)</f>
        <v>99050</v>
      </c>
      <c r="M44" s="258" t="s">
        <v>177</v>
      </c>
      <c r="N44" s="749">
        <f>SUM(N38:N43)</f>
        <v>78993.100000000006</v>
      </c>
      <c r="O44" s="750"/>
      <c r="P44" s="749">
        <f>SUM(P38:P43)</f>
        <v>82436.335099999997</v>
      </c>
      <c r="Q44" s="492">
        <f>+P44/N44</f>
        <v>1.0435890615762642</v>
      </c>
    </row>
    <row r="45" spans="1:20" ht="30" customHeight="1" thickBot="1" x14ac:dyDescent="0.3">
      <c r="A45" s="321" t="s">
        <v>106</v>
      </c>
      <c r="B45" s="322" t="s">
        <v>187</v>
      </c>
      <c r="C45" s="323"/>
      <c r="D45" s="323"/>
      <c r="E45" s="22"/>
      <c r="F45" s="82"/>
      <c r="G45" s="81"/>
      <c r="H45" s="81"/>
      <c r="I45" s="60"/>
      <c r="J45" s="80"/>
      <c r="K45" s="80"/>
      <c r="L45" s="80"/>
      <c r="M45" s="218"/>
      <c r="N45" s="751"/>
      <c r="O45" s="105"/>
    </row>
    <row r="46" spans="1:20" ht="30" customHeight="1" thickBot="1" x14ac:dyDescent="0.4">
      <c r="A46" s="28"/>
      <c r="B46" s="21"/>
      <c r="C46" s="21"/>
      <c r="D46" s="2"/>
      <c r="E46" s="2"/>
      <c r="F46" s="131" t="s">
        <v>47</v>
      </c>
      <c r="G46" s="617"/>
      <c r="H46" s="617"/>
      <c r="I46" s="122" t="s">
        <v>8</v>
      </c>
      <c r="J46" s="122" t="s">
        <v>3</v>
      </c>
      <c r="K46" s="270" t="s">
        <v>3</v>
      </c>
      <c r="L46" s="124" t="s">
        <v>4</v>
      </c>
      <c r="M46" s="282" t="s">
        <v>3</v>
      </c>
      <c r="N46" s="283" t="s">
        <v>4</v>
      </c>
      <c r="O46" s="105"/>
    </row>
    <row r="47" spans="1:20" ht="30" customHeight="1" thickTop="1" x14ac:dyDescent="0.25">
      <c r="A47" s="28"/>
      <c r="B47" s="849" t="s">
        <v>48</v>
      </c>
      <c r="C47" s="850"/>
      <c r="D47" s="851"/>
      <c r="E47" s="2"/>
      <c r="F47" s="134" t="s">
        <v>61</v>
      </c>
      <c r="G47" s="618"/>
      <c r="H47" s="618"/>
      <c r="I47" s="139">
        <v>3500</v>
      </c>
      <c r="J47" s="91" t="s">
        <v>9</v>
      </c>
      <c r="K47" s="239">
        <v>2.5</v>
      </c>
      <c r="L47" s="272">
        <f t="shared" ref="L47:L52" si="8">+K47*I47</f>
        <v>8750</v>
      </c>
      <c r="M47" s="275">
        <v>2.0499999999999998</v>
      </c>
      <c r="N47" s="275">
        <f t="shared" ref="N47:N52" si="9">+M47*I47</f>
        <v>7174.9999999999991</v>
      </c>
      <c r="O47" s="105"/>
    </row>
    <row r="48" spans="1:20" ht="30" customHeight="1" thickBot="1" x14ac:dyDescent="0.3">
      <c r="A48" s="28"/>
      <c r="B48" s="846" t="s">
        <v>49</v>
      </c>
      <c r="C48" s="847"/>
      <c r="D48" s="848"/>
      <c r="E48" s="2"/>
      <c r="F48" s="134" t="s">
        <v>62</v>
      </c>
      <c r="G48" s="618"/>
      <c r="H48" s="618"/>
      <c r="I48" s="139">
        <v>7500</v>
      </c>
      <c r="J48" s="91" t="s">
        <v>9</v>
      </c>
      <c r="K48" s="239">
        <v>1.5</v>
      </c>
      <c r="L48" s="272">
        <f t="shared" si="8"/>
        <v>11250</v>
      </c>
      <c r="M48" s="228">
        <v>1.55</v>
      </c>
      <c r="N48" s="228">
        <f t="shared" si="9"/>
        <v>11625</v>
      </c>
      <c r="O48" s="105"/>
    </row>
    <row r="49" spans="1:18" ht="30" customHeight="1" thickTop="1" thickBot="1" x14ac:dyDescent="0.3">
      <c r="A49" s="28"/>
      <c r="B49" s="844"/>
      <c r="C49" s="845"/>
      <c r="D49" s="79"/>
      <c r="E49" s="2"/>
      <c r="F49" s="134" t="s">
        <v>10</v>
      </c>
      <c r="G49" s="618"/>
      <c r="H49" s="618"/>
      <c r="I49" s="139">
        <v>25</v>
      </c>
      <c r="J49" s="91" t="s">
        <v>11</v>
      </c>
      <c r="K49" s="239">
        <v>200</v>
      </c>
      <c r="L49" s="272">
        <f t="shared" si="8"/>
        <v>5000</v>
      </c>
      <c r="M49" s="228">
        <v>190</v>
      </c>
      <c r="N49" s="228">
        <f t="shared" si="9"/>
        <v>4750</v>
      </c>
      <c r="O49" s="105"/>
    </row>
    <row r="50" spans="1:18" ht="30" customHeight="1" thickBot="1" x14ac:dyDescent="0.4">
      <c r="A50" s="28"/>
      <c r="B50" s="75"/>
      <c r="C50" s="75"/>
      <c r="D50" s="137" t="s">
        <v>76</v>
      </c>
      <c r="E50" s="87"/>
      <c r="F50" s="136" t="s">
        <v>12</v>
      </c>
      <c r="G50" s="618"/>
      <c r="H50" s="618"/>
      <c r="I50" s="139">
        <v>75</v>
      </c>
      <c r="J50" s="91" t="s">
        <v>11</v>
      </c>
      <c r="K50" s="239">
        <v>150</v>
      </c>
      <c r="L50" s="272">
        <f t="shared" si="8"/>
        <v>11250</v>
      </c>
      <c r="M50" s="228">
        <v>140</v>
      </c>
      <c r="N50" s="228">
        <f t="shared" si="9"/>
        <v>10500</v>
      </c>
      <c r="O50" s="105"/>
    </row>
    <row r="51" spans="1:18" ht="30" customHeight="1" x14ac:dyDescent="0.25">
      <c r="A51" s="28"/>
      <c r="B51" s="21"/>
      <c r="C51" s="21"/>
      <c r="D51" s="78"/>
      <c r="E51" s="2"/>
      <c r="F51" s="134" t="s">
        <v>13</v>
      </c>
      <c r="G51" s="618"/>
      <c r="H51" s="618"/>
      <c r="I51" s="139">
        <v>150</v>
      </c>
      <c r="J51" s="91" t="s">
        <v>11</v>
      </c>
      <c r="K51" s="239">
        <v>100</v>
      </c>
      <c r="L51" s="272">
        <f t="shared" si="8"/>
        <v>15000</v>
      </c>
      <c r="M51" s="228">
        <v>95</v>
      </c>
      <c r="N51" s="228">
        <f t="shared" si="9"/>
        <v>14250</v>
      </c>
      <c r="O51" s="105"/>
    </row>
    <row r="52" spans="1:18" ht="30" customHeight="1" thickBot="1" x14ac:dyDescent="0.3">
      <c r="A52" s="860" t="s">
        <v>317</v>
      </c>
      <c r="B52" s="861"/>
      <c r="C52" s="861"/>
      <c r="D52" s="861"/>
      <c r="E52" s="861"/>
      <c r="F52" s="135" t="s">
        <v>19</v>
      </c>
      <c r="G52" s="619"/>
      <c r="H52" s="619"/>
      <c r="I52" s="140">
        <v>250</v>
      </c>
      <c r="J52" s="142" t="s">
        <v>11</v>
      </c>
      <c r="K52" s="241">
        <v>80</v>
      </c>
      <c r="L52" s="273">
        <f t="shared" si="8"/>
        <v>20000</v>
      </c>
      <c r="M52" s="257">
        <v>90</v>
      </c>
      <c r="N52" s="257">
        <f t="shared" si="9"/>
        <v>22500</v>
      </c>
      <c r="O52" s="105"/>
    </row>
    <row r="53" spans="1:18" ht="30" customHeight="1" thickBot="1" x14ac:dyDescent="0.3">
      <c r="A53" s="856" t="s">
        <v>306</v>
      </c>
      <c r="B53" s="855"/>
      <c r="C53" s="855"/>
      <c r="D53" s="855"/>
      <c r="E53" s="855"/>
      <c r="F53" s="86"/>
      <c r="G53" s="253"/>
      <c r="H53" s="253"/>
      <c r="I53" s="225"/>
      <c r="J53" s="226"/>
      <c r="K53" s="258" t="s">
        <v>177</v>
      </c>
      <c r="L53" s="258">
        <f>SUM(L47:L52)</f>
        <v>71250</v>
      </c>
      <c r="M53" s="258" t="s">
        <v>177</v>
      </c>
      <c r="N53" s="258">
        <f>SUM(N47:N52)</f>
        <v>70800</v>
      </c>
      <c r="O53" s="105"/>
    </row>
    <row r="54" spans="1:18" ht="9.9499999999999993" customHeight="1" x14ac:dyDescent="0.25">
      <c r="A54" s="81"/>
      <c r="B54" s="82"/>
      <c r="C54" s="82"/>
      <c r="D54" s="82"/>
      <c r="E54" s="83"/>
      <c r="F54" s="82"/>
      <c r="G54" s="81"/>
      <c r="H54" s="81"/>
      <c r="I54" s="60"/>
      <c r="J54" s="80"/>
      <c r="K54" s="80"/>
      <c r="L54" s="80"/>
      <c r="M54" s="218"/>
      <c r="N54" s="218"/>
      <c r="O54" s="111"/>
    </row>
    <row r="55" spans="1:18" ht="9.9499999999999993" customHeight="1" x14ac:dyDescent="0.25">
      <c r="A55" s="34"/>
      <c r="B55" s="44"/>
      <c r="C55" s="44"/>
      <c r="D55" s="44"/>
      <c r="E55" s="56"/>
      <c r="F55" s="44"/>
      <c r="G55" s="34"/>
      <c r="H55" s="34"/>
      <c r="I55" s="57"/>
      <c r="J55" s="47"/>
      <c r="K55" s="47"/>
      <c r="L55" s="44"/>
      <c r="M55" s="221"/>
      <c r="N55" s="221"/>
      <c r="O55" s="105"/>
    </row>
    <row r="56" spans="1:18" ht="35.1" customHeight="1" x14ac:dyDescent="0.5">
      <c r="A56" s="43" t="s">
        <v>262</v>
      </c>
      <c r="B56" s="82"/>
      <c r="C56" s="82"/>
      <c r="D56" s="82"/>
      <c r="E56" s="83"/>
      <c r="F56" s="396" t="str">
        <f>+F2</f>
        <v>UPDATED 11/18/2020 ERN</v>
      </c>
      <c r="G56" s="396"/>
      <c r="H56" s="396"/>
      <c r="I56" s="60"/>
      <c r="J56" s="80"/>
      <c r="K56" s="80"/>
      <c r="L56" s="82"/>
      <c r="M56" s="222"/>
      <c r="N56" s="222"/>
      <c r="O56" s="105"/>
    </row>
    <row r="57" spans="1:18" ht="9.9499999999999993" customHeight="1" x14ac:dyDescent="0.5">
      <c r="A57" s="70"/>
      <c r="B57" s="45"/>
      <c r="C57" s="45"/>
      <c r="D57" s="45"/>
      <c r="E57" s="66"/>
      <c r="F57" s="45"/>
      <c r="G57" s="68"/>
      <c r="H57" s="68"/>
      <c r="I57" s="67"/>
      <c r="J57" s="46"/>
      <c r="K57" s="46"/>
      <c r="L57" s="45"/>
      <c r="M57" s="221"/>
      <c r="N57" s="221"/>
      <c r="O57" s="105"/>
    </row>
    <row r="58" spans="1:18" ht="35.1" customHeight="1" thickBot="1" x14ac:dyDescent="0.45">
      <c r="A58" s="852" t="s">
        <v>44</v>
      </c>
      <c r="B58" s="852"/>
      <c r="C58" s="852"/>
      <c r="D58" s="853"/>
      <c r="E58" s="853"/>
      <c r="F58" s="853"/>
      <c r="G58" s="853"/>
      <c r="H58" s="853"/>
      <c r="I58" s="853"/>
      <c r="J58" s="853"/>
      <c r="K58" s="55"/>
      <c r="L58" s="55"/>
      <c r="M58" s="220"/>
      <c r="N58" s="220"/>
      <c r="O58" s="105"/>
    </row>
    <row r="59" spans="1:18" ht="35.1" customHeight="1" thickBot="1" x14ac:dyDescent="0.45">
      <c r="A59" s="38"/>
      <c r="B59" s="38"/>
      <c r="C59" s="38"/>
      <c r="E59" s="37" t="s">
        <v>24</v>
      </c>
      <c r="G59" s="616"/>
      <c r="H59" s="407" t="s">
        <v>236</v>
      </c>
      <c r="I59" s="407" t="s">
        <v>235</v>
      </c>
      <c r="J59" s="409"/>
      <c r="K59" s="268" t="s">
        <v>189</v>
      </c>
      <c r="L59" s="286"/>
      <c r="M59" s="268" t="s">
        <v>176</v>
      </c>
      <c r="N59" s="269"/>
      <c r="O59" s="105"/>
      <c r="P59" s="486" t="s">
        <v>236</v>
      </c>
      <c r="Q59" s="486" t="s">
        <v>236</v>
      </c>
    </row>
    <row r="60" spans="1:18" ht="24.95" customHeight="1" x14ac:dyDescent="0.35">
      <c r="A60" s="37" t="s">
        <v>7</v>
      </c>
      <c r="B60" s="75" t="s">
        <v>0</v>
      </c>
      <c r="C60" s="75" t="s">
        <v>1</v>
      </c>
      <c r="D60" s="75" t="s">
        <v>6</v>
      </c>
      <c r="E60" s="37" t="s">
        <v>25</v>
      </c>
      <c r="F60" s="75" t="s">
        <v>2</v>
      </c>
      <c r="G60" s="418" t="s">
        <v>238</v>
      </c>
      <c r="H60" s="418" t="s">
        <v>237</v>
      </c>
      <c r="I60" s="418" t="s">
        <v>16</v>
      </c>
      <c r="J60" s="538" t="s">
        <v>8</v>
      </c>
      <c r="K60" s="539" t="s">
        <v>3</v>
      </c>
      <c r="L60" s="540" t="s">
        <v>4</v>
      </c>
      <c r="M60" s="541" t="s">
        <v>3</v>
      </c>
      <c r="N60" s="542" t="s">
        <v>4</v>
      </c>
      <c r="O60" s="105"/>
      <c r="P60" s="543" t="s">
        <v>4</v>
      </c>
      <c r="Q60" s="544" t="s">
        <v>252</v>
      </c>
    </row>
    <row r="61" spans="1:18" ht="24.95" customHeight="1" x14ac:dyDescent="0.25">
      <c r="A61" s="443">
        <v>2018</v>
      </c>
      <c r="B61" s="443" t="s">
        <v>31</v>
      </c>
      <c r="C61" s="443" t="s">
        <v>255</v>
      </c>
      <c r="D61" s="443" t="s">
        <v>257</v>
      </c>
      <c r="E61" s="691">
        <v>0.21</v>
      </c>
      <c r="F61" s="676" t="s">
        <v>256</v>
      </c>
      <c r="G61" s="680">
        <v>43987</v>
      </c>
      <c r="H61" s="443">
        <v>410.51</v>
      </c>
      <c r="I61" s="443">
        <v>400</v>
      </c>
      <c r="J61" s="443" t="s">
        <v>11</v>
      </c>
      <c r="K61" s="677">
        <v>85</v>
      </c>
      <c r="L61" s="328">
        <f>+K61*I61</f>
        <v>34000</v>
      </c>
      <c r="M61" s="677">
        <v>64</v>
      </c>
      <c r="N61" s="677">
        <f>+M61*I61</f>
        <v>25600</v>
      </c>
      <c r="O61" s="678"/>
      <c r="P61" s="677">
        <f>+M61*H61</f>
        <v>26272.639999999999</v>
      </c>
      <c r="Q61" s="679">
        <f t="shared" ref="Q61:Q65" si="10">+P61/N61</f>
        <v>1.026275</v>
      </c>
      <c r="R61" s="208"/>
    </row>
    <row r="62" spans="1:18" ht="39.950000000000003" customHeight="1" x14ac:dyDescent="0.2">
      <c r="A62" s="650">
        <v>141</v>
      </c>
      <c r="B62" s="650" t="s">
        <v>125</v>
      </c>
      <c r="C62" s="651" t="s">
        <v>320</v>
      </c>
      <c r="D62" s="651" t="s">
        <v>322</v>
      </c>
      <c r="E62" s="652"/>
      <c r="F62" s="651" t="s">
        <v>321</v>
      </c>
      <c r="G62" s="877" t="s">
        <v>347</v>
      </c>
      <c r="H62" s="878"/>
      <c r="I62" s="642">
        <v>428</v>
      </c>
      <c r="J62" s="643" t="s">
        <v>11</v>
      </c>
      <c r="K62" s="644">
        <v>95</v>
      </c>
      <c r="L62" s="644">
        <f>+K62*I62</f>
        <v>40660</v>
      </c>
      <c r="M62" s="645">
        <v>80</v>
      </c>
      <c r="N62" s="645">
        <f>+M62*I62</f>
        <v>34240</v>
      </c>
      <c r="O62" s="646"/>
      <c r="P62" s="645">
        <f>+M62*H62</f>
        <v>0</v>
      </c>
      <c r="Q62" s="647">
        <f t="shared" si="10"/>
        <v>0</v>
      </c>
    </row>
    <row r="63" spans="1:18" ht="30" customHeight="1" x14ac:dyDescent="0.2">
      <c r="A63" s="99"/>
      <c r="B63" s="99"/>
      <c r="C63" s="99"/>
      <c r="D63" s="89"/>
      <c r="E63" s="90"/>
      <c r="F63" s="382" t="s">
        <v>330</v>
      </c>
      <c r="G63" s="422"/>
      <c r="H63" s="193"/>
      <c r="I63" s="138"/>
      <c r="J63" s="91" t="s">
        <v>11</v>
      </c>
      <c r="K63" s="239">
        <v>65</v>
      </c>
      <c r="L63" s="239">
        <f>+K63*I63</f>
        <v>0</v>
      </c>
      <c r="M63" s="228">
        <v>64.69</v>
      </c>
      <c r="N63" s="228">
        <f>+M63*I63</f>
        <v>0</v>
      </c>
      <c r="O63" s="546"/>
      <c r="P63" s="228">
        <f>+M63*H63</f>
        <v>0</v>
      </c>
      <c r="Q63" s="490" t="e">
        <f t="shared" si="10"/>
        <v>#DIV/0!</v>
      </c>
    </row>
    <row r="64" spans="1:18" ht="36" customHeight="1" x14ac:dyDescent="0.2">
      <c r="A64" s="324"/>
      <c r="B64" s="324" t="s">
        <v>20</v>
      </c>
      <c r="C64" s="324" t="s">
        <v>134</v>
      </c>
      <c r="D64" s="333" t="s">
        <v>360</v>
      </c>
      <c r="E64" s="334">
        <v>1.4</v>
      </c>
      <c r="F64" s="333" t="s">
        <v>374</v>
      </c>
      <c r="G64" s="431">
        <v>44132</v>
      </c>
      <c r="H64" s="324">
        <v>1481.05</v>
      </c>
      <c r="I64" s="443">
        <v>1450</v>
      </c>
      <c r="J64" s="443" t="s">
        <v>11</v>
      </c>
      <c r="K64" s="328">
        <v>75</v>
      </c>
      <c r="L64" s="328">
        <f>+K64*I64</f>
        <v>108750</v>
      </c>
      <c r="M64" s="677">
        <v>64.959999999999994</v>
      </c>
      <c r="N64" s="677">
        <f>+M64*I64</f>
        <v>94191.999999999985</v>
      </c>
      <c r="O64" s="698"/>
      <c r="P64" s="677">
        <f>+M64*H64</f>
        <v>96209.007999999987</v>
      </c>
      <c r="Q64" s="679">
        <f t="shared" si="10"/>
        <v>1.0214137931034484</v>
      </c>
    </row>
    <row r="65" spans="1:17" ht="36" customHeight="1" thickBot="1" x14ac:dyDescent="0.25">
      <c r="A65" s="324"/>
      <c r="B65" s="324" t="s">
        <v>20</v>
      </c>
      <c r="C65" s="324" t="s">
        <v>361</v>
      </c>
      <c r="D65" s="333" t="s">
        <v>362</v>
      </c>
      <c r="E65" s="334">
        <v>0.5</v>
      </c>
      <c r="F65" s="333" t="s">
        <v>363</v>
      </c>
      <c r="G65" s="737">
        <v>44134</v>
      </c>
      <c r="H65" s="758">
        <v>438.41</v>
      </c>
      <c r="I65" s="335">
        <v>540</v>
      </c>
      <c r="J65" s="335" t="s">
        <v>11</v>
      </c>
      <c r="K65" s="337">
        <v>85</v>
      </c>
      <c r="L65" s="337">
        <f>+K65*I65</f>
        <v>45900</v>
      </c>
      <c r="M65" s="338">
        <v>64.959999999999994</v>
      </c>
      <c r="N65" s="338">
        <f>+M65*I65</f>
        <v>35078.399999999994</v>
      </c>
      <c r="O65" s="699"/>
      <c r="P65" s="338">
        <f>+M65*H65</f>
        <v>28479.113600000001</v>
      </c>
      <c r="Q65" s="649">
        <f t="shared" si="10"/>
        <v>0.81187037037037058</v>
      </c>
    </row>
    <row r="66" spans="1:17" ht="36" customHeight="1" thickBot="1" x14ac:dyDescent="0.25">
      <c r="A66" s="229"/>
      <c r="B66" s="230"/>
      <c r="C66" s="230"/>
      <c r="D66" s="230"/>
      <c r="E66" s="231"/>
      <c r="F66" s="329"/>
      <c r="G66" s="622"/>
      <c r="H66" s="744">
        <f>SUM(H61:H65)</f>
        <v>2329.9699999999998</v>
      </c>
      <c r="I66" s="261">
        <f>SUM(I61:I65)-I62</f>
        <v>2390</v>
      </c>
      <c r="J66" s="262" t="s">
        <v>11</v>
      </c>
      <c r="K66" s="258" t="s">
        <v>177</v>
      </c>
      <c r="L66" s="310">
        <f>+L62+L63+L64+L65+L61</f>
        <v>229310</v>
      </c>
      <c r="M66" s="258" t="s">
        <v>177</v>
      </c>
      <c r="N66" s="749">
        <f>SUM(N61:N65)-N62</f>
        <v>154870.39999999999</v>
      </c>
      <c r="O66" s="750"/>
      <c r="P66" s="749">
        <f>SUM(P61:P65)-P62</f>
        <v>150960.7616</v>
      </c>
      <c r="Q66" s="492">
        <f>+P66/N66</f>
        <v>0.97475541872430116</v>
      </c>
    </row>
    <row r="67" spans="1:17" ht="30" customHeight="1" thickBot="1" x14ac:dyDescent="0.3">
      <c r="A67" s="321" t="s">
        <v>106</v>
      </c>
      <c r="B67" s="322" t="s">
        <v>187</v>
      </c>
      <c r="C67" s="323"/>
      <c r="D67" s="323"/>
      <c r="E67" s="22"/>
      <c r="F67" s="82"/>
      <c r="G67" s="81"/>
      <c r="H67" s="81"/>
      <c r="I67" s="80"/>
      <c r="J67" s="80"/>
      <c r="K67" s="80"/>
      <c r="L67" s="80"/>
      <c r="M67" s="218"/>
      <c r="N67" s="751"/>
      <c r="O67" s="105"/>
    </row>
    <row r="68" spans="1:17" ht="30" customHeight="1" thickBot="1" x14ac:dyDescent="0.4">
      <c r="A68" s="28"/>
      <c r="B68" s="21"/>
      <c r="C68" s="21"/>
      <c r="D68" s="2"/>
      <c r="E68" s="2"/>
      <c r="F68" s="131" t="s">
        <v>47</v>
      </c>
      <c r="G68" s="617"/>
      <c r="H68" s="617"/>
      <c r="I68" s="122" t="s">
        <v>8</v>
      </c>
      <c r="J68" s="122" t="s">
        <v>3</v>
      </c>
      <c r="K68" s="270" t="s">
        <v>3</v>
      </c>
      <c r="L68" s="124" t="s">
        <v>4</v>
      </c>
      <c r="M68" s="282" t="s">
        <v>3</v>
      </c>
      <c r="N68" s="283" t="s">
        <v>4</v>
      </c>
      <c r="O68" s="105"/>
    </row>
    <row r="69" spans="1:17" ht="30" customHeight="1" thickTop="1" x14ac:dyDescent="0.25">
      <c r="A69" s="28"/>
      <c r="B69" s="849" t="s">
        <v>48</v>
      </c>
      <c r="C69" s="850"/>
      <c r="D69" s="851"/>
      <c r="E69" s="2"/>
      <c r="F69" s="134" t="s">
        <v>61</v>
      </c>
      <c r="G69" s="618"/>
      <c r="H69" s="618"/>
      <c r="I69" s="139">
        <v>3500</v>
      </c>
      <c r="J69" s="91" t="s">
        <v>9</v>
      </c>
      <c r="K69" s="239">
        <v>2.5</v>
      </c>
      <c r="L69" s="272">
        <f t="shared" ref="L69:L74" si="11">+K69*I69</f>
        <v>8750</v>
      </c>
      <c r="M69" s="275">
        <v>2.0499999999999998</v>
      </c>
      <c r="N69" s="275">
        <f t="shared" ref="N69:N74" si="12">+M69*I69</f>
        <v>7174.9999999999991</v>
      </c>
      <c r="O69" s="105"/>
    </row>
    <row r="70" spans="1:17" ht="30" customHeight="1" thickBot="1" x14ac:dyDescent="0.3">
      <c r="A70" s="28"/>
      <c r="B70" s="846" t="s">
        <v>49</v>
      </c>
      <c r="C70" s="847"/>
      <c r="D70" s="848"/>
      <c r="E70" s="2"/>
      <c r="F70" s="134" t="s">
        <v>62</v>
      </c>
      <c r="G70" s="618"/>
      <c r="H70" s="618"/>
      <c r="I70" s="139">
        <v>7500</v>
      </c>
      <c r="J70" s="91" t="s">
        <v>9</v>
      </c>
      <c r="K70" s="239">
        <v>1.5</v>
      </c>
      <c r="L70" s="272">
        <f t="shared" si="11"/>
        <v>11250</v>
      </c>
      <c r="M70" s="228">
        <v>1.55</v>
      </c>
      <c r="N70" s="228">
        <f t="shared" si="12"/>
        <v>11625</v>
      </c>
      <c r="O70" s="105"/>
    </row>
    <row r="71" spans="1:17" ht="30" customHeight="1" thickTop="1" thickBot="1" x14ac:dyDescent="0.3">
      <c r="A71" s="28"/>
      <c r="B71" s="844"/>
      <c r="C71" s="845"/>
      <c r="D71" s="79"/>
      <c r="E71" s="2"/>
      <c r="F71" s="134" t="s">
        <v>10</v>
      </c>
      <c r="G71" s="618"/>
      <c r="H71" s="618"/>
      <c r="I71" s="139">
        <v>25</v>
      </c>
      <c r="J71" s="91" t="s">
        <v>11</v>
      </c>
      <c r="K71" s="239">
        <v>200</v>
      </c>
      <c r="L71" s="272">
        <f t="shared" si="11"/>
        <v>5000</v>
      </c>
      <c r="M71" s="228">
        <v>190</v>
      </c>
      <c r="N71" s="228">
        <f t="shared" si="12"/>
        <v>4750</v>
      </c>
      <c r="O71" s="105"/>
    </row>
    <row r="72" spans="1:17" ht="30" customHeight="1" thickBot="1" x14ac:dyDescent="0.4">
      <c r="A72" s="28"/>
      <c r="B72" s="75"/>
      <c r="C72" s="75"/>
      <c r="D72" s="137" t="s">
        <v>76</v>
      </c>
      <c r="E72" s="87"/>
      <c r="F72" s="136" t="s">
        <v>12</v>
      </c>
      <c r="G72" s="618"/>
      <c r="H72" s="618"/>
      <c r="I72" s="139">
        <v>75</v>
      </c>
      <c r="J72" s="91" t="s">
        <v>11</v>
      </c>
      <c r="K72" s="239">
        <v>150</v>
      </c>
      <c r="L72" s="272">
        <f t="shared" si="11"/>
        <v>11250</v>
      </c>
      <c r="M72" s="228">
        <v>140</v>
      </c>
      <c r="N72" s="228">
        <f t="shared" si="12"/>
        <v>10500</v>
      </c>
      <c r="O72" s="105"/>
    </row>
    <row r="73" spans="1:17" ht="30" customHeight="1" x14ac:dyDescent="0.25">
      <c r="A73" s="28"/>
      <c r="B73" s="21"/>
      <c r="C73" s="21"/>
      <c r="D73" s="78"/>
      <c r="E73" s="2"/>
      <c r="F73" s="134" t="s">
        <v>13</v>
      </c>
      <c r="G73" s="618"/>
      <c r="H73" s="618"/>
      <c r="I73" s="139">
        <v>150</v>
      </c>
      <c r="J73" s="91" t="s">
        <v>11</v>
      </c>
      <c r="K73" s="239">
        <v>100</v>
      </c>
      <c r="L73" s="272">
        <f t="shared" si="11"/>
        <v>15000</v>
      </c>
      <c r="M73" s="228">
        <v>95</v>
      </c>
      <c r="N73" s="228">
        <f t="shared" si="12"/>
        <v>14250</v>
      </c>
      <c r="O73" s="105"/>
    </row>
    <row r="74" spans="1:17" ht="30" customHeight="1" thickBot="1" x14ac:dyDescent="0.3">
      <c r="A74" s="860" t="s">
        <v>317</v>
      </c>
      <c r="B74" s="861"/>
      <c r="C74" s="861"/>
      <c r="D74" s="861"/>
      <c r="E74" s="861"/>
      <c r="F74" s="135" t="s">
        <v>19</v>
      </c>
      <c r="G74" s="619"/>
      <c r="H74" s="619"/>
      <c r="I74" s="140">
        <v>250</v>
      </c>
      <c r="J74" s="142" t="s">
        <v>11</v>
      </c>
      <c r="K74" s="241">
        <v>80</v>
      </c>
      <c r="L74" s="273">
        <f t="shared" si="11"/>
        <v>20000</v>
      </c>
      <c r="M74" s="257">
        <v>90</v>
      </c>
      <c r="N74" s="257">
        <f t="shared" si="12"/>
        <v>22500</v>
      </c>
      <c r="O74" s="105"/>
    </row>
    <row r="75" spans="1:17" ht="30" customHeight="1" thickBot="1" x14ac:dyDescent="0.3">
      <c r="A75" s="856" t="s">
        <v>306</v>
      </c>
      <c r="B75" s="855"/>
      <c r="C75" s="855"/>
      <c r="D75" s="855"/>
      <c r="E75" s="855"/>
      <c r="F75" s="86"/>
      <c r="G75" s="253"/>
      <c r="H75" s="253"/>
      <c r="I75" s="225"/>
      <c r="J75" s="226"/>
      <c r="K75" s="258" t="s">
        <v>177</v>
      </c>
      <c r="L75" s="258">
        <f>SUM(L69:L74)</f>
        <v>71250</v>
      </c>
      <c r="M75" s="258" t="s">
        <v>177</v>
      </c>
      <c r="N75" s="258">
        <f>SUM(N69:N74)</f>
        <v>70800</v>
      </c>
      <c r="O75" s="105"/>
    </row>
    <row r="76" spans="1:17" ht="9.9499999999999993" customHeight="1" x14ac:dyDescent="0.25">
      <c r="A76" s="81"/>
      <c r="B76" s="82"/>
      <c r="C76" s="82"/>
      <c r="D76" s="82"/>
      <c r="E76" s="83"/>
      <c r="F76" s="82"/>
      <c r="G76" s="81"/>
      <c r="H76" s="81"/>
      <c r="I76" s="80"/>
      <c r="J76" s="80"/>
      <c r="K76" s="80"/>
      <c r="L76" s="80"/>
      <c r="M76" s="218"/>
      <c r="N76" s="218"/>
      <c r="O76" s="105"/>
    </row>
    <row r="77" spans="1:17" ht="9.9499999999999993" customHeight="1" x14ac:dyDescent="0.25">
      <c r="A77" s="34"/>
      <c r="B77" s="44"/>
      <c r="C77" s="44"/>
      <c r="D77" s="44"/>
      <c r="E77" s="56"/>
      <c r="F77" s="44"/>
      <c r="G77" s="34"/>
      <c r="H77" s="34"/>
      <c r="I77" s="57"/>
      <c r="J77" s="47"/>
      <c r="K77" s="47"/>
      <c r="L77" s="44"/>
      <c r="M77" s="221"/>
      <c r="N77" s="221"/>
      <c r="O77" s="105"/>
    </row>
    <row r="78" spans="1:17" ht="35.1" customHeight="1" x14ac:dyDescent="0.5">
      <c r="A78" s="43" t="s">
        <v>262</v>
      </c>
      <c r="B78" s="82"/>
      <c r="C78" s="82"/>
      <c r="D78" s="82"/>
      <c r="E78" s="83"/>
      <c r="F78" s="396" t="str">
        <f>+F2</f>
        <v>UPDATED 11/18/2020 ERN</v>
      </c>
      <c r="G78" s="396"/>
      <c r="H78" s="396"/>
      <c r="I78" s="80"/>
      <c r="J78" s="80"/>
      <c r="K78" s="80"/>
      <c r="L78" s="80"/>
      <c r="M78" s="218"/>
      <c r="N78" s="218"/>
      <c r="O78" s="105"/>
    </row>
    <row r="79" spans="1:17" ht="9.9499999999999993" customHeight="1" x14ac:dyDescent="0.25">
      <c r="A79" s="34"/>
      <c r="B79" s="44"/>
      <c r="C79" s="44"/>
      <c r="D79" s="44"/>
      <c r="E79" s="56"/>
      <c r="F79" s="44"/>
      <c r="G79" s="34"/>
      <c r="H79" s="34"/>
      <c r="I79" s="57"/>
      <c r="J79" s="47"/>
      <c r="K79" s="47"/>
      <c r="L79" s="44"/>
      <c r="M79" s="221"/>
      <c r="N79" s="221"/>
      <c r="O79" s="105"/>
    </row>
    <row r="80" spans="1:17" ht="35.1" customHeight="1" thickBot="1" x14ac:dyDescent="0.45">
      <c r="A80" s="852" t="s">
        <v>45</v>
      </c>
      <c r="B80" s="852"/>
      <c r="C80" s="852"/>
      <c r="D80" s="853"/>
      <c r="E80" s="853"/>
      <c r="F80" s="853"/>
      <c r="G80" s="853"/>
      <c r="H80" s="853"/>
      <c r="I80" s="853"/>
      <c r="J80" s="853"/>
      <c r="K80" s="55"/>
      <c r="L80" s="55"/>
      <c r="M80" s="220"/>
      <c r="N80" s="220"/>
      <c r="O80" s="105"/>
    </row>
    <row r="81" spans="1:20" ht="24.95" customHeight="1" thickBot="1" x14ac:dyDescent="0.45">
      <c r="A81" s="38"/>
      <c r="B81" s="38"/>
      <c r="C81" s="38"/>
      <c r="E81" s="37" t="s">
        <v>24</v>
      </c>
      <c r="G81" s="616"/>
      <c r="H81" s="407" t="s">
        <v>236</v>
      </c>
      <c r="I81" s="407" t="s">
        <v>235</v>
      </c>
      <c r="J81" s="409"/>
      <c r="K81" s="268" t="s">
        <v>189</v>
      </c>
      <c r="L81" s="286"/>
      <c r="M81" s="268" t="s">
        <v>176</v>
      </c>
      <c r="N81" s="269"/>
      <c r="O81" s="105"/>
      <c r="P81" s="486" t="s">
        <v>236</v>
      </c>
      <c r="Q81" s="486" t="s">
        <v>236</v>
      </c>
    </row>
    <row r="82" spans="1:20" ht="24.95" customHeight="1" x14ac:dyDescent="0.35">
      <c r="A82" s="37" t="s">
        <v>7</v>
      </c>
      <c r="B82" s="75" t="s">
        <v>0</v>
      </c>
      <c r="C82" s="75" t="s">
        <v>1</v>
      </c>
      <c r="D82" s="75" t="s">
        <v>6</v>
      </c>
      <c r="E82" s="37" t="s">
        <v>25</v>
      </c>
      <c r="F82" s="75" t="s">
        <v>2</v>
      </c>
      <c r="G82" s="418" t="s">
        <v>238</v>
      </c>
      <c r="H82" s="418" t="s">
        <v>237</v>
      </c>
      <c r="I82" s="418" t="s">
        <v>16</v>
      </c>
      <c r="J82" s="538" t="s">
        <v>8</v>
      </c>
      <c r="K82" s="539" t="s">
        <v>3</v>
      </c>
      <c r="L82" s="540" t="s">
        <v>4</v>
      </c>
      <c r="M82" s="541" t="s">
        <v>3</v>
      </c>
      <c r="N82" s="542" t="s">
        <v>4</v>
      </c>
      <c r="O82" s="105"/>
      <c r="P82" s="543" t="s">
        <v>4</v>
      </c>
      <c r="Q82" s="544" t="s">
        <v>252</v>
      </c>
    </row>
    <row r="83" spans="1:20" ht="30" customHeight="1" x14ac:dyDescent="0.25">
      <c r="A83" s="675" t="s">
        <v>341</v>
      </c>
      <c r="B83" s="333" t="s">
        <v>27</v>
      </c>
      <c r="C83" s="333" t="s">
        <v>307</v>
      </c>
      <c r="D83" s="333" t="s">
        <v>308</v>
      </c>
      <c r="E83" s="334"/>
      <c r="F83" s="676" t="s">
        <v>309</v>
      </c>
      <c r="G83" s="431">
        <v>44000</v>
      </c>
      <c r="H83" s="324">
        <v>92.53</v>
      </c>
      <c r="I83" s="443">
        <v>91</v>
      </c>
      <c r="J83" s="327" t="s">
        <v>11</v>
      </c>
      <c r="K83" s="328">
        <v>67.97</v>
      </c>
      <c r="L83" s="328">
        <f>+K83*I83</f>
        <v>6185.2699999999995</v>
      </c>
      <c r="M83" s="677">
        <v>67.97</v>
      </c>
      <c r="N83" s="677">
        <f>+M83*I83</f>
        <v>6185.2699999999995</v>
      </c>
      <c r="O83" s="678"/>
      <c r="P83" s="677">
        <f>+M83*H83</f>
        <v>6289.2641000000003</v>
      </c>
      <c r="Q83" s="679">
        <f>+P83/N83</f>
        <v>1.0168131868131869</v>
      </c>
      <c r="R83" s="208"/>
      <c r="S83" s="673">
        <f t="shared" ref="S83:S91" si="13">+P83-L83</f>
        <v>103.9941000000008</v>
      </c>
    </row>
    <row r="84" spans="1:20" s="670" customFormat="1" ht="30" customHeight="1" x14ac:dyDescent="0.25">
      <c r="A84" s="675" t="s">
        <v>381</v>
      </c>
      <c r="B84" s="333" t="s">
        <v>27</v>
      </c>
      <c r="C84" s="333" t="s">
        <v>342</v>
      </c>
      <c r="D84" s="333" t="s">
        <v>343</v>
      </c>
      <c r="E84" s="334"/>
      <c r="F84" s="676" t="s">
        <v>377</v>
      </c>
      <c r="G84" s="431">
        <v>44095</v>
      </c>
      <c r="H84" s="324">
        <v>300.04000000000002</v>
      </c>
      <c r="I84" s="443">
        <v>315</v>
      </c>
      <c r="J84" s="327" t="s">
        <v>11</v>
      </c>
      <c r="K84" s="328"/>
      <c r="L84" s="328"/>
      <c r="M84" s="677">
        <v>74.19</v>
      </c>
      <c r="N84" s="677">
        <f>+M84*I84</f>
        <v>23369.85</v>
      </c>
      <c r="O84" s="678"/>
      <c r="P84" s="677">
        <f>+M84*H84</f>
        <v>22259.9676</v>
      </c>
      <c r="Q84" s="679">
        <f>+P84/N84</f>
        <v>0.95250793650793653</v>
      </c>
      <c r="R84" s="208"/>
      <c r="S84" s="673"/>
    </row>
    <row r="85" spans="1:20" s="694" customFormat="1" ht="39.950000000000003" customHeight="1" x14ac:dyDescent="0.25">
      <c r="A85" s="675" t="s">
        <v>193</v>
      </c>
      <c r="B85" s="333" t="s">
        <v>27</v>
      </c>
      <c r="C85" s="333" t="s">
        <v>358</v>
      </c>
      <c r="D85" s="333" t="s">
        <v>359</v>
      </c>
      <c r="E85" s="334">
        <v>1.93</v>
      </c>
      <c r="F85" s="676" t="s">
        <v>378</v>
      </c>
      <c r="G85" s="431" t="s">
        <v>379</v>
      </c>
      <c r="H85" s="740">
        <f>2546.68+542.21</f>
        <v>3088.89</v>
      </c>
      <c r="I85" s="728">
        <v>2980</v>
      </c>
      <c r="J85" s="327" t="s">
        <v>11</v>
      </c>
      <c r="K85" s="328"/>
      <c r="L85" s="328"/>
      <c r="M85" s="677">
        <v>60.07</v>
      </c>
      <c r="N85" s="677">
        <f>+M85*I85</f>
        <v>179008.6</v>
      </c>
      <c r="O85" s="678"/>
      <c r="P85" s="677">
        <f>+M85*H85</f>
        <v>185549.62229999999</v>
      </c>
      <c r="Q85" s="679">
        <f>+P85/N85</f>
        <v>1.0365402684563758</v>
      </c>
      <c r="R85" s="208"/>
      <c r="S85" s="673"/>
    </row>
    <row r="86" spans="1:20" ht="36" customHeight="1" x14ac:dyDescent="0.2">
      <c r="A86" s="332" t="s">
        <v>310</v>
      </c>
      <c r="B86" s="333" t="s">
        <v>311</v>
      </c>
      <c r="C86" s="333" t="s">
        <v>312</v>
      </c>
      <c r="D86" s="333" t="s">
        <v>313</v>
      </c>
      <c r="E86" s="334"/>
      <c r="F86" s="456" t="s">
        <v>309</v>
      </c>
      <c r="G86" s="431">
        <v>44006</v>
      </c>
      <c r="H86" s="324">
        <v>31.18</v>
      </c>
      <c r="I86" s="443">
        <v>31</v>
      </c>
      <c r="J86" s="443" t="s">
        <v>11</v>
      </c>
      <c r="K86" s="328">
        <v>200</v>
      </c>
      <c r="L86" s="328">
        <f>+K86*I86</f>
        <v>6200</v>
      </c>
      <c r="M86" s="677">
        <v>190</v>
      </c>
      <c r="N86" s="677">
        <f>+M86*I86</f>
        <v>5890</v>
      </c>
      <c r="O86" s="678"/>
      <c r="P86" s="677">
        <f>+M86*H86</f>
        <v>5924.2</v>
      </c>
      <c r="Q86" s="679">
        <f>+P86/N86</f>
        <v>1.0058064516129033</v>
      </c>
      <c r="S86" s="672">
        <f t="shared" si="13"/>
        <v>-275.80000000000018</v>
      </c>
    </row>
    <row r="87" spans="1:20" ht="20.100000000000001" customHeight="1" x14ac:dyDescent="0.2">
      <c r="A87" s="332"/>
      <c r="B87" s="333"/>
      <c r="C87" s="333"/>
      <c r="D87" s="333"/>
      <c r="E87" s="334"/>
      <c r="F87" s="456" t="s">
        <v>319</v>
      </c>
      <c r="G87" s="431"/>
      <c r="H87" s="324"/>
      <c r="I87" s="443"/>
      <c r="J87" s="443"/>
      <c r="K87" s="328"/>
      <c r="L87" s="328"/>
      <c r="M87" s="677"/>
      <c r="N87" s="677"/>
      <c r="O87" s="678"/>
      <c r="P87" s="677"/>
      <c r="Q87" s="679"/>
      <c r="S87" s="672"/>
    </row>
    <row r="88" spans="1:20" ht="30" customHeight="1" x14ac:dyDescent="0.2">
      <c r="A88" s="332" t="s">
        <v>224</v>
      </c>
      <c r="B88" s="333" t="s">
        <v>35</v>
      </c>
      <c r="C88" s="333" t="s">
        <v>207</v>
      </c>
      <c r="D88" s="333" t="s">
        <v>208</v>
      </c>
      <c r="E88" s="334">
        <v>0.15</v>
      </c>
      <c r="F88" s="456" t="s">
        <v>26</v>
      </c>
      <c r="G88" s="680" t="s">
        <v>334</v>
      </c>
      <c r="H88" s="324">
        <f>230.01+35</f>
        <v>265.01</v>
      </c>
      <c r="I88" s="443">
        <v>216</v>
      </c>
      <c r="J88" s="443" t="s">
        <v>11</v>
      </c>
      <c r="K88" s="328">
        <v>95</v>
      </c>
      <c r="L88" s="328">
        <f>+K88*I88</f>
        <v>20520</v>
      </c>
      <c r="M88" s="677">
        <v>90</v>
      </c>
      <c r="N88" s="677">
        <f>+M88*I88</f>
        <v>19440</v>
      </c>
      <c r="O88" s="678"/>
      <c r="P88" s="677">
        <f>+M88*H88</f>
        <v>23850.899999999998</v>
      </c>
      <c r="Q88" s="679">
        <f>+P88/N88</f>
        <v>1.226898148148148</v>
      </c>
      <c r="S88" s="673">
        <f t="shared" si="13"/>
        <v>3330.8999999999978</v>
      </c>
      <c r="T88" s="11"/>
    </row>
    <row r="89" spans="1:20" ht="36" customHeight="1" x14ac:dyDescent="0.2">
      <c r="A89" s="332" t="s">
        <v>184</v>
      </c>
      <c r="B89" s="333" t="s">
        <v>35</v>
      </c>
      <c r="C89" s="333" t="s">
        <v>146</v>
      </c>
      <c r="D89" s="333" t="s">
        <v>147</v>
      </c>
      <c r="E89" s="334">
        <v>1.5</v>
      </c>
      <c r="F89" s="333" t="s">
        <v>148</v>
      </c>
      <c r="G89" s="680">
        <v>44018</v>
      </c>
      <c r="H89" s="324">
        <v>241.29</v>
      </c>
      <c r="I89" s="443">
        <v>220</v>
      </c>
      <c r="J89" s="443" t="s">
        <v>11</v>
      </c>
      <c r="K89" s="328">
        <v>95</v>
      </c>
      <c r="L89" s="328">
        <f>+K89*I89</f>
        <v>20900</v>
      </c>
      <c r="M89" s="677">
        <v>84</v>
      </c>
      <c r="N89" s="677">
        <f>+M89*I89</f>
        <v>18480</v>
      </c>
      <c r="O89" s="678"/>
      <c r="P89" s="677">
        <f>+M89*H89</f>
        <v>20268.36</v>
      </c>
      <c r="Q89" s="679">
        <f>+P89/N89</f>
        <v>1.0967727272727272</v>
      </c>
      <c r="S89" s="672">
        <f t="shared" si="13"/>
        <v>-631.63999999999942</v>
      </c>
      <c r="T89" s="672">
        <f>+S89+S86</f>
        <v>-907.4399999999996</v>
      </c>
    </row>
    <row r="90" spans="1:20" s="640" customFormat="1" ht="36" customHeight="1" x14ac:dyDescent="0.2">
      <c r="A90" s="332">
        <v>135</v>
      </c>
      <c r="B90" s="333" t="s">
        <v>196</v>
      </c>
      <c r="C90" s="333" t="s">
        <v>331</v>
      </c>
      <c r="D90" s="333" t="s">
        <v>332</v>
      </c>
      <c r="E90" s="334"/>
      <c r="F90" s="456" t="s">
        <v>333</v>
      </c>
      <c r="G90" s="657">
        <v>44006</v>
      </c>
      <c r="H90" s="653">
        <v>106.39</v>
      </c>
      <c r="I90" s="335">
        <v>124</v>
      </c>
      <c r="J90" s="335" t="s">
        <v>11</v>
      </c>
      <c r="K90" s="337">
        <v>95</v>
      </c>
      <c r="L90" s="337">
        <f>+K90*I90</f>
        <v>11780</v>
      </c>
      <c r="M90" s="338">
        <v>95</v>
      </c>
      <c r="N90" s="338">
        <f>+M90*I90</f>
        <v>11780</v>
      </c>
      <c r="O90" s="648"/>
      <c r="P90" s="338">
        <f>+M90*H90</f>
        <v>10107.049999999999</v>
      </c>
      <c r="Q90" s="649">
        <f>+P90/N90</f>
        <v>0.85798387096774187</v>
      </c>
      <c r="S90" s="672">
        <f t="shared" si="13"/>
        <v>-1672.9500000000007</v>
      </c>
      <c r="T90" s="666"/>
    </row>
    <row r="91" spans="1:20" ht="36" customHeight="1" x14ac:dyDescent="0.2">
      <c r="A91" s="641" t="s">
        <v>231</v>
      </c>
      <c r="B91" s="692" t="s">
        <v>196</v>
      </c>
      <c r="C91" s="692" t="s">
        <v>229</v>
      </c>
      <c r="D91" s="692" t="s">
        <v>230</v>
      </c>
      <c r="E91" s="693">
        <v>0.5</v>
      </c>
      <c r="F91" s="692" t="s">
        <v>37</v>
      </c>
      <c r="G91" s="657">
        <v>44011</v>
      </c>
      <c r="H91" s="653">
        <v>244.7</v>
      </c>
      <c r="I91" s="335">
        <v>260</v>
      </c>
      <c r="J91" s="335" t="s">
        <v>11</v>
      </c>
      <c r="K91" s="337">
        <v>90</v>
      </c>
      <c r="L91" s="337">
        <f>+K91*I91</f>
        <v>23400</v>
      </c>
      <c r="M91" s="338">
        <v>90</v>
      </c>
      <c r="N91" s="338">
        <f>+M91*I91</f>
        <v>23400</v>
      </c>
      <c r="O91" s="648"/>
      <c r="P91" s="338">
        <f>+M91*H91</f>
        <v>22023</v>
      </c>
      <c r="Q91" s="649">
        <f>+P91/N91</f>
        <v>0.94115384615384612</v>
      </c>
      <c r="S91" s="672">
        <f t="shared" si="13"/>
        <v>-1377</v>
      </c>
      <c r="T91" s="672">
        <f>+S90+S91</f>
        <v>-3049.9500000000007</v>
      </c>
    </row>
    <row r="92" spans="1:20" s="729" customFormat="1" ht="36" customHeight="1" thickBot="1" x14ac:dyDescent="0.25">
      <c r="A92" s="716"/>
      <c r="B92" s="681" t="s">
        <v>196</v>
      </c>
      <c r="C92" s="681" t="s">
        <v>384</v>
      </c>
      <c r="D92" s="681" t="s">
        <v>385</v>
      </c>
      <c r="E92" s="682"/>
      <c r="F92" s="681" t="s">
        <v>386</v>
      </c>
      <c r="G92" s="745"/>
      <c r="H92" s="746"/>
      <c r="I92" s="717">
        <v>336</v>
      </c>
      <c r="J92" s="717" t="s">
        <v>11</v>
      </c>
      <c r="K92" s="724"/>
      <c r="L92" s="724"/>
      <c r="M92" s="725"/>
      <c r="N92" s="725"/>
      <c r="O92" s="747"/>
      <c r="P92" s="725"/>
      <c r="Q92" s="726"/>
      <c r="S92" s="672"/>
      <c r="T92" s="672"/>
    </row>
    <row r="93" spans="1:20" ht="39.950000000000003" customHeight="1" thickBot="1" x14ac:dyDescent="0.3">
      <c r="A93" s="593"/>
      <c r="B93" s="594"/>
      <c r="C93" s="594"/>
      <c r="D93" s="594"/>
      <c r="E93" s="595"/>
      <c r="F93" s="596"/>
      <c r="G93" s="621"/>
      <c r="H93" s="658">
        <f>SUM(H83:H91)</f>
        <v>4370.03</v>
      </c>
      <c r="I93" s="658">
        <f>SUM(I83:I92)</f>
        <v>4573</v>
      </c>
      <c r="J93" s="262" t="s">
        <v>11</v>
      </c>
      <c r="K93" s="258" t="s">
        <v>177</v>
      </c>
      <c r="L93" s="553">
        <f>SUM(L83:L91)</f>
        <v>88985.27</v>
      </c>
      <c r="M93" s="258" t="s">
        <v>177</v>
      </c>
      <c r="N93" s="752">
        <f>SUM(N83:N92)</f>
        <v>287553.71999999997</v>
      </c>
      <c r="O93" s="750"/>
      <c r="P93" s="749">
        <f>SUM(P83:P92)</f>
        <v>296272.364</v>
      </c>
      <c r="Q93" s="492">
        <f>+P93/N93</f>
        <v>1.0303200528930734</v>
      </c>
    </row>
    <row r="94" spans="1:20" ht="39.950000000000003" customHeight="1" thickBot="1" x14ac:dyDescent="0.3">
      <c r="A94" s="321" t="s">
        <v>106</v>
      </c>
      <c r="B94" s="322" t="s">
        <v>187</v>
      </c>
      <c r="C94" s="323"/>
      <c r="D94" s="323"/>
      <c r="E94" s="22"/>
      <c r="F94" s="82"/>
      <c r="G94" s="81"/>
      <c r="H94" s="81"/>
      <c r="I94" s="80"/>
      <c r="J94" s="80"/>
      <c r="K94" s="80"/>
      <c r="L94" s="80"/>
      <c r="M94" s="218"/>
      <c r="N94" s="751"/>
      <c r="O94" s="105"/>
    </row>
    <row r="95" spans="1:20" ht="27.95" customHeight="1" thickBot="1" x14ac:dyDescent="0.4">
      <c r="A95" s="28"/>
      <c r="B95" s="21"/>
      <c r="C95" s="21"/>
      <c r="D95" s="2"/>
      <c r="E95" s="2"/>
      <c r="F95" s="131" t="s">
        <v>47</v>
      </c>
      <c r="G95" s="617"/>
      <c r="H95" s="617"/>
      <c r="I95" s="122" t="s">
        <v>8</v>
      </c>
      <c r="J95" s="122" t="s">
        <v>3</v>
      </c>
      <c r="K95" s="270" t="s">
        <v>3</v>
      </c>
      <c r="L95" s="124" t="s">
        <v>4</v>
      </c>
      <c r="M95" s="282" t="s">
        <v>3</v>
      </c>
      <c r="N95" s="283" t="s">
        <v>4</v>
      </c>
      <c r="O95" s="105"/>
    </row>
    <row r="96" spans="1:20" ht="27.95" customHeight="1" thickTop="1" x14ac:dyDescent="0.25">
      <c r="A96" s="28"/>
      <c r="B96" s="849" t="s">
        <v>48</v>
      </c>
      <c r="C96" s="850"/>
      <c r="D96" s="851"/>
      <c r="E96" s="2"/>
      <c r="F96" s="134" t="s">
        <v>61</v>
      </c>
      <c r="G96" s="618"/>
      <c r="H96" s="618"/>
      <c r="I96" s="139">
        <v>3500</v>
      </c>
      <c r="J96" s="91" t="s">
        <v>9</v>
      </c>
      <c r="K96" s="239">
        <v>2.5</v>
      </c>
      <c r="L96" s="272">
        <f t="shared" ref="L96:L101" si="14">+K96*I96</f>
        <v>8750</v>
      </c>
      <c r="M96" s="275">
        <v>2.0499999999999998</v>
      </c>
      <c r="N96" s="275">
        <f t="shared" ref="N96:N101" si="15">+M96*I96</f>
        <v>7174.9999999999991</v>
      </c>
      <c r="O96" s="105"/>
    </row>
    <row r="97" spans="1:22" ht="24.95" customHeight="1" thickBot="1" x14ac:dyDescent="0.3">
      <c r="A97" s="28"/>
      <c r="B97" s="846" t="s">
        <v>49</v>
      </c>
      <c r="C97" s="847"/>
      <c r="D97" s="848"/>
      <c r="E97" s="2"/>
      <c r="F97" s="134" t="s">
        <v>62</v>
      </c>
      <c r="G97" s="618"/>
      <c r="H97" s="618"/>
      <c r="I97" s="139">
        <v>7500</v>
      </c>
      <c r="J97" s="91" t="s">
        <v>9</v>
      </c>
      <c r="K97" s="239">
        <v>1.5</v>
      </c>
      <c r="L97" s="272">
        <f t="shared" si="14"/>
        <v>11250</v>
      </c>
      <c r="M97" s="228">
        <v>1.55</v>
      </c>
      <c r="N97" s="228">
        <f t="shared" si="15"/>
        <v>11625</v>
      </c>
      <c r="O97" s="105"/>
    </row>
    <row r="98" spans="1:22" ht="30" customHeight="1" thickTop="1" thickBot="1" x14ac:dyDescent="0.3">
      <c r="A98" s="28"/>
      <c r="B98" s="844"/>
      <c r="C98" s="845"/>
      <c r="D98" s="79"/>
      <c r="E98" s="2"/>
      <c r="F98" s="134" t="s">
        <v>10</v>
      </c>
      <c r="G98" s="618"/>
      <c r="H98" s="618"/>
      <c r="I98" s="139">
        <v>25</v>
      </c>
      <c r="J98" s="91" t="s">
        <v>11</v>
      </c>
      <c r="K98" s="239">
        <v>200</v>
      </c>
      <c r="L98" s="272">
        <f t="shared" si="14"/>
        <v>5000</v>
      </c>
      <c r="M98" s="228">
        <v>190</v>
      </c>
      <c r="N98" s="228">
        <f t="shared" si="15"/>
        <v>4750</v>
      </c>
      <c r="O98" s="105"/>
    </row>
    <row r="99" spans="1:22" ht="30" customHeight="1" thickBot="1" x14ac:dyDescent="0.4">
      <c r="A99" s="28"/>
      <c r="B99" s="75"/>
      <c r="C99" s="75"/>
      <c r="D99" s="137" t="s">
        <v>76</v>
      </c>
      <c r="E99" s="87"/>
      <c r="F99" s="136" t="s">
        <v>12</v>
      </c>
      <c r="G99" s="618"/>
      <c r="H99" s="618"/>
      <c r="I99" s="139">
        <v>75</v>
      </c>
      <c r="J99" s="91" t="s">
        <v>11</v>
      </c>
      <c r="K99" s="239">
        <v>150</v>
      </c>
      <c r="L99" s="272">
        <f t="shared" si="14"/>
        <v>11250</v>
      </c>
      <c r="M99" s="228">
        <v>140</v>
      </c>
      <c r="N99" s="228">
        <f t="shared" si="15"/>
        <v>10500</v>
      </c>
      <c r="O99" s="105"/>
    </row>
    <row r="100" spans="1:22" ht="30" customHeight="1" x14ac:dyDescent="0.25">
      <c r="A100" s="28"/>
      <c r="B100" s="21"/>
      <c r="C100" s="21"/>
      <c r="D100" s="78"/>
      <c r="E100" s="2"/>
      <c r="F100" s="134" t="s">
        <v>13</v>
      </c>
      <c r="G100" s="618"/>
      <c r="H100" s="618"/>
      <c r="I100" s="139">
        <v>150</v>
      </c>
      <c r="J100" s="91" t="s">
        <v>11</v>
      </c>
      <c r="K100" s="239">
        <v>100</v>
      </c>
      <c r="L100" s="272">
        <f t="shared" si="14"/>
        <v>15000</v>
      </c>
      <c r="M100" s="228">
        <v>95</v>
      </c>
      <c r="N100" s="228">
        <f t="shared" si="15"/>
        <v>14250</v>
      </c>
      <c r="O100" s="105"/>
    </row>
    <row r="101" spans="1:22" ht="30" customHeight="1" thickBot="1" x14ac:dyDescent="0.3">
      <c r="A101" s="860" t="s">
        <v>317</v>
      </c>
      <c r="B101" s="861"/>
      <c r="C101" s="861"/>
      <c r="D101" s="861"/>
      <c r="E101" s="861"/>
      <c r="F101" s="135" t="s">
        <v>19</v>
      </c>
      <c r="G101" s="619"/>
      <c r="H101" s="619"/>
      <c r="I101" s="140">
        <v>250</v>
      </c>
      <c r="J101" s="142" t="s">
        <v>11</v>
      </c>
      <c r="K101" s="241">
        <v>80</v>
      </c>
      <c r="L101" s="273">
        <f t="shared" si="14"/>
        <v>20000</v>
      </c>
      <c r="M101" s="257">
        <v>90</v>
      </c>
      <c r="N101" s="257">
        <f t="shared" si="15"/>
        <v>22500</v>
      </c>
      <c r="O101" s="105"/>
    </row>
    <row r="102" spans="1:22" ht="30" customHeight="1" thickBot="1" x14ac:dyDescent="0.3">
      <c r="A102" s="856" t="s">
        <v>306</v>
      </c>
      <c r="B102" s="855"/>
      <c r="C102" s="855"/>
      <c r="D102" s="855"/>
      <c r="E102" s="855"/>
      <c r="F102" s="86"/>
      <c r="G102" s="253"/>
      <c r="H102" s="253"/>
      <c r="I102" s="225"/>
      <c r="J102" s="226"/>
      <c r="K102" s="258" t="s">
        <v>177</v>
      </c>
      <c r="L102" s="258">
        <f>SUM(L96:L101)</f>
        <v>71250</v>
      </c>
      <c r="M102" s="258" t="s">
        <v>177</v>
      </c>
      <c r="N102" s="258">
        <f>SUM(N96:N101)</f>
        <v>70800</v>
      </c>
      <c r="O102" s="105"/>
    </row>
    <row r="103" spans="1:22" ht="30" customHeight="1" x14ac:dyDescent="0.2">
      <c r="A103" s="24"/>
      <c r="B103" s="61"/>
      <c r="C103" s="61"/>
      <c r="D103" s="61"/>
      <c r="E103" s="62"/>
      <c r="F103" s="27"/>
      <c r="G103" s="623"/>
      <c r="H103" s="623"/>
      <c r="I103" s="15"/>
      <c r="J103" s="64"/>
      <c r="K103" s="64"/>
      <c r="L103" s="64"/>
      <c r="M103" s="218"/>
      <c r="N103" s="218"/>
    </row>
    <row r="104" spans="1:22" ht="12.75" customHeight="1" x14ac:dyDescent="0.2">
      <c r="A104" s="48"/>
      <c r="B104" s="71"/>
      <c r="C104" s="71"/>
      <c r="D104" s="71"/>
      <c r="E104" s="72"/>
      <c r="F104" s="73"/>
      <c r="G104" s="624"/>
      <c r="H104" s="624"/>
      <c r="I104" s="74"/>
      <c r="J104" s="54"/>
      <c r="K104" s="54"/>
      <c r="L104" s="54"/>
      <c r="M104" s="219"/>
      <c r="N104" s="219"/>
    </row>
    <row r="105" spans="1:22" ht="37.5" customHeight="1" x14ac:dyDescent="0.5">
      <c r="A105" s="43"/>
      <c r="B105" s="61"/>
      <c r="C105" s="61"/>
      <c r="D105" s="61"/>
      <c r="E105" s="62"/>
      <c r="F105" s="396" t="str">
        <f>+F2</f>
        <v>UPDATED 11/18/2020 ERN</v>
      </c>
      <c r="G105" s="396"/>
      <c r="H105" s="396"/>
      <c r="I105" s="15"/>
      <c r="J105" s="64"/>
      <c r="K105" s="64"/>
      <c r="L105" s="64"/>
      <c r="M105" s="218"/>
      <c r="N105" s="218"/>
    </row>
    <row r="106" spans="1:22" ht="9.9499999999999993" customHeight="1" thickBot="1" x14ac:dyDescent="0.55000000000000004">
      <c r="A106" s="70"/>
      <c r="B106" s="71"/>
      <c r="C106" s="71"/>
      <c r="D106" s="71"/>
      <c r="E106" s="72"/>
      <c r="F106" s="73"/>
      <c r="G106" s="624"/>
      <c r="H106" s="624"/>
      <c r="I106" s="74"/>
      <c r="J106" s="54"/>
      <c r="K106" s="54"/>
      <c r="L106" s="54"/>
      <c r="M106" s="219"/>
      <c r="N106" s="219"/>
    </row>
    <row r="107" spans="1:22" ht="27" customHeight="1" thickBot="1" x14ac:dyDescent="0.45">
      <c r="A107" s="857" t="s">
        <v>17</v>
      </c>
      <c r="B107" s="857"/>
      <c r="C107" s="857"/>
      <c r="D107" s="69"/>
      <c r="E107" s="37" t="s">
        <v>24</v>
      </c>
      <c r="F107" s="69"/>
      <c r="G107" s="616"/>
      <c r="H107" s="407" t="s">
        <v>236</v>
      </c>
      <c r="I107" s="407" t="s">
        <v>235</v>
      </c>
      <c r="J107" s="409"/>
      <c r="K107" s="268" t="s">
        <v>189</v>
      </c>
      <c r="L107" s="287"/>
      <c r="M107" s="268" t="s">
        <v>176</v>
      </c>
      <c r="N107" s="269"/>
      <c r="P107" s="486" t="s">
        <v>236</v>
      </c>
      <c r="Q107" s="486" t="s">
        <v>236</v>
      </c>
    </row>
    <row r="108" spans="1:22" ht="27" customHeight="1" thickBot="1" x14ac:dyDescent="0.4">
      <c r="A108" s="103" t="s">
        <v>7</v>
      </c>
      <c r="B108" s="104" t="s">
        <v>0</v>
      </c>
      <c r="C108" s="104" t="s">
        <v>1</v>
      </c>
      <c r="D108" s="104" t="s">
        <v>6</v>
      </c>
      <c r="E108" s="103" t="s">
        <v>18</v>
      </c>
      <c r="F108" s="104" t="s">
        <v>2</v>
      </c>
      <c r="G108" s="418" t="s">
        <v>238</v>
      </c>
      <c r="H108" s="418" t="s">
        <v>237</v>
      </c>
      <c r="I108" s="418" t="s">
        <v>16</v>
      </c>
      <c r="J108" s="538" t="s">
        <v>8</v>
      </c>
      <c r="K108" s="539" t="s">
        <v>3</v>
      </c>
      <c r="L108" s="540" t="s">
        <v>4</v>
      </c>
      <c r="M108" s="541" t="s">
        <v>3</v>
      </c>
      <c r="N108" s="542" t="s">
        <v>4</v>
      </c>
      <c r="P108" s="543" t="s">
        <v>4</v>
      </c>
      <c r="Q108" s="544" t="s">
        <v>252</v>
      </c>
    </row>
    <row r="109" spans="1:22" ht="50.1" customHeight="1" x14ac:dyDescent="0.2">
      <c r="A109" s="437" t="s">
        <v>63</v>
      </c>
      <c r="B109" s="515" t="s">
        <v>31</v>
      </c>
      <c r="C109" s="438" t="s">
        <v>39</v>
      </c>
      <c r="D109" s="438" t="s">
        <v>55</v>
      </c>
      <c r="E109" s="439">
        <v>2</v>
      </c>
      <c r="F109" s="438" t="s">
        <v>348</v>
      </c>
      <c r="G109" s="431" t="s">
        <v>382</v>
      </c>
      <c r="H109" s="691">
        <f>1659.7+1786.33+1087.97</f>
        <v>4534</v>
      </c>
      <c r="I109" s="461">
        <v>3810</v>
      </c>
      <c r="J109" s="443" t="s">
        <v>11</v>
      </c>
      <c r="K109" s="741">
        <v>65</v>
      </c>
      <c r="L109" s="328">
        <f>+K109*I109</f>
        <v>247650</v>
      </c>
      <c r="M109" s="677">
        <v>59.36</v>
      </c>
      <c r="N109" s="677">
        <f>+M109*I109</f>
        <v>226161.6</v>
      </c>
      <c r="O109" s="730"/>
      <c r="P109" s="735">
        <f>+M109*H109</f>
        <v>269138.24</v>
      </c>
      <c r="Q109" s="754">
        <f>+P109/N109</f>
        <v>1.19002624671916</v>
      </c>
      <c r="S109" s="866"/>
      <c r="T109" s="866"/>
      <c r="U109" s="866"/>
    </row>
    <row r="110" spans="1:22" ht="24.95" customHeight="1" x14ac:dyDescent="0.2">
      <c r="A110" s="685"/>
      <c r="B110" s="685"/>
      <c r="C110" s="685"/>
      <c r="D110" s="742" t="s">
        <v>383</v>
      </c>
      <c r="E110" s="685"/>
      <c r="F110" s="685"/>
      <c r="G110" s="743"/>
      <c r="H110" s="684"/>
      <c r="I110" s="461">
        <v>1</v>
      </c>
      <c r="J110" s="443" t="s">
        <v>77</v>
      </c>
      <c r="K110" s="741">
        <v>1500</v>
      </c>
      <c r="L110" s="328">
        <f>+K110*I110</f>
        <v>1500</v>
      </c>
      <c r="M110" s="328">
        <v>1740</v>
      </c>
      <c r="N110" s="328">
        <f>+M110*I110</f>
        <v>1740</v>
      </c>
      <c r="O110" s="730"/>
      <c r="P110" s="735">
        <f>+M110*H110</f>
        <v>0</v>
      </c>
      <c r="Q110" s="679">
        <f>+P110/N110</f>
        <v>0</v>
      </c>
      <c r="R110" s="671"/>
    </row>
    <row r="111" spans="1:22" ht="39.950000000000003" customHeight="1" x14ac:dyDescent="0.25">
      <c r="A111" s="685"/>
      <c r="B111" s="685"/>
      <c r="C111" s="685"/>
      <c r="D111" s="685"/>
      <c r="E111" s="685"/>
      <c r="F111" s="685"/>
      <c r="G111" s="684"/>
      <c r="H111" s="684"/>
      <c r="I111" s="685"/>
      <c r="J111" s="685"/>
      <c r="K111" s="685"/>
      <c r="L111" s="685"/>
      <c r="M111" s="685"/>
      <c r="N111" s="685"/>
      <c r="O111" s="685"/>
      <c r="P111" s="685"/>
      <c r="Q111" s="685"/>
      <c r="R111" s="686"/>
      <c r="S111" s="215"/>
      <c r="T111" s="215"/>
      <c r="U111" s="216"/>
      <c r="V111" s="216"/>
    </row>
    <row r="112" spans="1:22" ht="39.950000000000003" customHeight="1" x14ac:dyDescent="0.2">
      <c r="A112" s="324" t="s">
        <v>65</v>
      </c>
      <c r="B112" s="456" t="s">
        <v>58</v>
      </c>
      <c r="C112" s="333" t="s">
        <v>59</v>
      </c>
      <c r="D112" s="333" t="s">
        <v>60</v>
      </c>
      <c r="E112" s="334">
        <v>0.4</v>
      </c>
      <c r="F112" s="333" t="s">
        <v>168</v>
      </c>
      <c r="G112" s="680">
        <v>43987</v>
      </c>
      <c r="H112" s="704">
        <v>5070</v>
      </c>
      <c r="I112" s="705">
        <v>7900</v>
      </c>
      <c r="J112" s="443" t="s">
        <v>21</v>
      </c>
      <c r="K112" s="328">
        <v>2</v>
      </c>
      <c r="L112" s="328">
        <f>+K112*I112</f>
        <v>15800</v>
      </c>
      <c r="M112" s="328">
        <v>1.2</v>
      </c>
      <c r="N112" s="328">
        <f>+M112*I112</f>
        <v>9480</v>
      </c>
      <c r="O112" s="685"/>
      <c r="P112" s="677">
        <f>+M112*H112</f>
        <v>6084</v>
      </c>
      <c r="Q112" s="679">
        <f>+P112/N112</f>
        <v>0.64177215189873416</v>
      </c>
      <c r="R112" s="687"/>
      <c r="U112" s="212"/>
      <c r="V112" s="3"/>
    </row>
    <row r="113" spans="1:22" ht="39.950000000000003" customHeight="1" x14ac:dyDescent="0.2">
      <c r="A113" s="324"/>
      <c r="B113" s="456"/>
      <c r="C113" s="333"/>
      <c r="D113" s="333"/>
      <c r="E113" s="334"/>
      <c r="F113" s="333" t="s">
        <v>250</v>
      </c>
      <c r="G113" s="706"/>
      <c r="H113" s="704">
        <v>0</v>
      </c>
      <c r="I113" s="705">
        <v>1</v>
      </c>
      <c r="J113" s="443" t="s">
        <v>77</v>
      </c>
      <c r="K113" s="328">
        <v>1500</v>
      </c>
      <c r="L113" s="328">
        <f>+K113*I113</f>
        <v>1500</v>
      </c>
      <c r="M113" s="328">
        <v>1740</v>
      </c>
      <c r="N113" s="328">
        <f>+M113*I113</f>
        <v>1740</v>
      </c>
      <c r="O113" s="685"/>
      <c r="P113" s="677">
        <f>+M113*H113</f>
        <v>0</v>
      </c>
      <c r="Q113" s="679">
        <f>+P113/N113</f>
        <v>0</v>
      </c>
      <c r="R113" s="687"/>
      <c r="U113" s="212"/>
      <c r="V113" s="3"/>
    </row>
    <row r="114" spans="1:22" ht="39.950000000000003" customHeight="1" x14ac:dyDescent="0.2">
      <c r="A114" s="688"/>
      <c r="B114" s="689"/>
      <c r="C114" s="689"/>
      <c r="D114" s="690"/>
      <c r="E114" s="690"/>
      <c r="F114" s="333" t="s">
        <v>212</v>
      </c>
      <c r="G114" s="680">
        <v>43987</v>
      </c>
      <c r="H114" s="704">
        <v>801.09</v>
      </c>
      <c r="I114" s="707">
        <v>870</v>
      </c>
      <c r="J114" s="443" t="s">
        <v>11</v>
      </c>
      <c r="K114" s="328">
        <v>70</v>
      </c>
      <c r="L114" s="328">
        <f>+K114*I114</f>
        <v>60900</v>
      </c>
      <c r="M114" s="328">
        <v>66.31</v>
      </c>
      <c r="N114" s="328">
        <f>+M114*I114</f>
        <v>57689.700000000004</v>
      </c>
      <c r="O114" s="685"/>
      <c r="P114" s="677">
        <f>+M114*H114</f>
        <v>53120.277900000001</v>
      </c>
      <c r="Q114" s="679">
        <f>+P114/N114</f>
        <v>0.92079310344827581</v>
      </c>
      <c r="R114" s="687"/>
      <c r="U114" s="212"/>
      <c r="V114" s="3"/>
    </row>
    <row r="115" spans="1:22" ht="39.950000000000003" customHeight="1" x14ac:dyDescent="0.2">
      <c r="A115" s="685"/>
      <c r="B115" s="685"/>
      <c r="C115" s="685"/>
      <c r="D115" s="685"/>
      <c r="E115" s="685"/>
      <c r="F115" s="685"/>
      <c r="G115" s="708"/>
      <c r="H115" s="708"/>
      <c r="I115" s="709"/>
      <c r="J115" s="685"/>
      <c r="K115" s="685"/>
      <c r="L115" s="685"/>
      <c r="M115" s="685"/>
      <c r="N115" s="685"/>
      <c r="O115" s="685"/>
      <c r="P115" s="685"/>
      <c r="Q115" s="685"/>
      <c r="R115" s="687"/>
      <c r="U115" s="212"/>
      <c r="V115" s="3"/>
    </row>
    <row r="116" spans="1:22" ht="39.950000000000003" customHeight="1" x14ac:dyDescent="0.2">
      <c r="A116" s="91" t="s">
        <v>75</v>
      </c>
      <c r="B116" s="91" t="s">
        <v>335</v>
      </c>
      <c r="C116" s="91" t="s">
        <v>336</v>
      </c>
      <c r="D116" s="91" t="s">
        <v>337</v>
      </c>
      <c r="E116" s="91">
        <v>6.7</v>
      </c>
      <c r="F116" s="91" t="s">
        <v>338</v>
      </c>
      <c r="G116" s="710">
        <v>43999</v>
      </c>
      <c r="H116" s="711">
        <v>228.5</v>
      </c>
      <c r="I116" s="711">
        <v>210</v>
      </c>
      <c r="J116" s="91" t="s">
        <v>11</v>
      </c>
      <c r="K116" s="239">
        <v>90</v>
      </c>
      <c r="L116" s="239">
        <f>+K116*I116</f>
        <v>18900</v>
      </c>
      <c r="M116" s="239">
        <v>90</v>
      </c>
      <c r="N116" s="239">
        <f>+M116*I116</f>
        <v>18900</v>
      </c>
      <c r="O116" s="91"/>
      <c r="P116" s="328">
        <f>+M116*H116</f>
        <v>20565</v>
      </c>
      <c r="Q116" s="660">
        <f>+P116/N116</f>
        <v>1.088095238095238</v>
      </c>
      <c r="R116" s="3"/>
      <c r="U116" s="212"/>
      <c r="V116" s="3"/>
    </row>
    <row r="117" spans="1:22" s="659" customFormat="1" ht="39.950000000000003" customHeight="1" x14ac:dyDescent="0.2">
      <c r="A117" s="91"/>
      <c r="B117" s="91"/>
      <c r="C117" s="91"/>
      <c r="D117" s="91"/>
      <c r="E117" s="91"/>
      <c r="F117" s="91"/>
      <c r="G117" s="710"/>
      <c r="H117" s="711"/>
      <c r="I117" s="711"/>
      <c r="J117" s="91"/>
      <c r="K117" s="239"/>
      <c r="L117" s="239"/>
      <c r="M117" s="239"/>
      <c r="N117" s="239"/>
      <c r="O117" s="91"/>
      <c r="P117" s="328"/>
      <c r="Q117" s="660"/>
      <c r="R117" s="3"/>
      <c r="T117" s="666"/>
      <c r="U117" s="212"/>
      <c r="V117" s="3"/>
    </row>
    <row r="118" spans="1:22" ht="66" customHeight="1" x14ac:dyDescent="0.2">
      <c r="A118" s="443" t="s">
        <v>120</v>
      </c>
      <c r="B118" s="443" t="s">
        <v>339</v>
      </c>
      <c r="C118" s="443" t="s">
        <v>134</v>
      </c>
      <c r="D118" s="443" t="s">
        <v>344</v>
      </c>
      <c r="E118" s="712">
        <v>4.7</v>
      </c>
      <c r="F118" s="443" t="s">
        <v>349</v>
      </c>
      <c r="G118" s="680" t="s">
        <v>376</v>
      </c>
      <c r="H118" s="707">
        <f>1415.45+1072.26+2323.52+746</f>
        <v>5557.23</v>
      </c>
      <c r="I118" s="705">
        <v>5600</v>
      </c>
      <c r="J118" s="443" t="s">
        <v>11</v>
      </c>
      <c r="K118" s="328">
        <v>65</v>
      </c>
      <c r="L118" s="328">
        <f>+K118*I118</f>
        <v>364000</v>
      </c>
      <c r="M118" s="328">
        <v>61.77</v>
      </c>
      <c r="N118" s="328">
        <f t="shared" ref="N118:N124" si="16">+M118*I118</f>
        <v>345912</v>
      </c>
      <c r="O118" s="443"/>
      <c r="P118" s="328">
        <f t="shared" ref="P118:P125" si="17">+M118*H118</f>
        <v>343270.09710000001</v>
      </c>
      <c r="Q118" s="660">
        <f t="shared" ref="Q118:Q127" si="18">+P118/N118</f>
        <v>0.99236250000000004</v>
      </c>
      <c r="R118" s="3"/>
      <c r="S118" s="757"/>
      <c r="T118" s="757"/>
      <c r="U118" s="757"/>
      <c r="V118" s="212"/>
    </row>
    <row r="119" spans="1:22" s="695" customFormat="1" ht="50.1" customHeight="1" x14ac:dyDescent="0.2">
      <c r="A119" s="443"/>
      <c r="B119" s="443"/>
      <c r="C119" s="443"/>
      <c r="D119" s="443"/>
      <c r="E119" s="712"/>
      <c r="F119" s="443" t="s">
        <v>338</v>
      </c>
      <c r="G119" s="680" t="s">
        <v>387</v>
      </c>
      <c r="H119" s="707">
        <f>120.95+32.65</f>
        <v>153.6</v>
      </c>
      <c r="I119" s="705">
        <v>150</v>
      </c>
      <c r="J119" s="443" t="s">
        <v>11</v>
      </c>
      <c r="K119" s="328">
        <v>65</v>
      </c>
      <c r="L119" s="328">
        <f>+K119*I119</f>
        <v>9750</v>
      </c>
      <c r="M119" s="328">
        <v>61.77</v>
      </c>
      <c r="N119" s="328">
        <f t="shared" si="16"/>
        <v>9265.5</v>
      </c>
      <c r="O119" s="443"/>
      <c r="P119" s="328">
        <f t="shared" si="17"/>
        <v>9487.8719999999994</v>
      </c>
      <c r="Q119" s="660">
        <f t="shared" si="18"/>
        <v>1.024</v>
      </c>
      <c r="R119" s="3"/>
      <c r="S119" s="3"/>
      <c r="T119" s="3"/>
      <c r="U119" s="212"/>
      <c r="V119" s="212"/>
    </row>
    <row r="120" spans="1:22" s="659" customFormat="1" ht="50.1" customHeight="1" x14ac:dyDescent="0.2">
      <c r="A120" s="443" t="s">
        <v>124</v>
      </c>
      <c r="B120" s="443" t="s">
        <v>14</v>
      </c>
      <c r="C120" s="443" t="s">
        <v>59</v>
      </c>
      <c r="D120" s="443" t="s">
        <v>350</v>
      </c>
      <c r="E120" s="712">
        <v>6</v>
      </c>
      <c r="F120" s="443" t="s">
        <v>338</v>
      </c>
      <c r="G120" s="680" t="s">
        <v>366</v>
      </c>
      <c r="H120" s="707">
        <v>935.24</v>
      </c>
      <c r="I120" s="713">
        <v>900</v>
      </c>
      <c r="J120" s="443" t="s">
        <v>173</v>
      </c>
      <c r="K120" s="328"/>
      <c r="L120" s="328"/>
      <c r="M120" s="328">
        <v>77.53</v>
      </c>
      <c r="N120" s="328">
        <f t="shared" si="16"/>
        <v>69777</v>
      </c>
      <c r="O120" s="443"/>
      <c r="P120" s="328">
        <f t="shared" si="17"/>
        <v>72509.157200000001</v>
      </c>
      <c r="Q120" s="660">
        <f t="shared" si="18"/>
        <v>1.0391555555555556</v>
      </c>
      <c r="R120" s="3"/>
      <c r="S120" s="3"/>
      <c r="T120" s="3"/>
      <c r="U120" s="212"/>
      <c r="V120" s="212"/>
    </row>
    <row r="121" spans="1:22" s="727" customFormat="1" ht="50.1" customHeight="1" thickBot="1" x14ac:dyDescent="0.25">
      <c r="A121" s="443"/>
      <c r="B121" s="443" t="s">
        <v>14</v>
      </c>
      <c r="C121" s="443" t="s">
        <v>59</v>
      </c>
      <c r="D121" s="443" t="s">
        <v>350</v>
      </c>
      <c r="E121" s="712">
        <v>6</v>
      </c>
      <c r="F121" s="443" t="s">
        <v>338</v>
      </c>
      <c r="G121" s="680">
        <v>44098</v>
      </c>
      <c r="H121" s="707">
        <v>90.77</v>
      </c>
      <c r="I121" s="713">
        <v>150</v>
      </c>
      <c r="J121" s="443" t="s">
        <v>173</v>
      </c>
      <c r="K121" s="328"/>
      <c r="L121" s="328"/>
      <c r="M121" s="328">
        <v>77.53</v>
      </c>
      <c r="N121" s="328">
        <f t="shared" si="16"/>
        <v>11629.5</v>
      </c>
      <c r="O121" s="443"/>
      <c r="P121" s="328">
        <f t="shared" si="17"/>
        <v>7037.3980999999994</v>
      </c>
      <c r="Q121" s="660">
        <f t="shared" si="18"/>
        <v>0.6051333333333333</v>
      </c>
      <c r="R121" s="3"/>
      <c r="S121" s="3"/>
      <c r="T121" s="3"/>
      <c r="U121" s="212"/>
      <c r="V121" s="212"/>
    </row>
    <row r="122" spans="1:22" s="694" customFormat="1" ht="50.1" customHeight="1" thickBot="1" x14ac:dyDescent="0.25">
      <c r="A122" s="443" t="s">
        <v>351</v>
      </c>
      <c r="B122" s="443" t="s">
        <v>14</v>
      </c>
      <c r="C122" s="443" t="s">
        <v>79</v>
      </c>
      <c r="D122" s="443" t="s">
        <v>352</v>
      </c>
      <c r="E122" s="712">
        <v>3</v>
      </c>
      <c r="F122" s="443" t="s">
        <v>338</v>
      </c>
      <c r="G122" s="714">
        <v>44077</v>
      </c>
      <c r="H122" s="707">
        <v>897.78</v>
      </c>
      <c r="I122" s="713">
        <v>700</v>
      </c>
      <c r="J122" s="443" t="s">
        <v>173</v>
      </c>
      <c r="K122" s="328"/>
      <c r="L122" s="328"/>
      <c r="M122" s="328">
        <v>77.53</v>
      </c>
      <c r="N122" s="328">
        <f t="shared" si="16"/>
        <v>54271</v>
      </c>
      <c r="O122" s="443"/>
      <c r="P122" s="328">
        <f t="shared" si="17"/>
        <v>69604.883400000006</v>
      </c>
      <c r="Q122" s="755">
        <f t="shared" si="18"/>
        <v>1.2825428571428572</v>
      </c>
      <c r="R122" s="3"/>
      <c r="S122" s="863" t="s">
        <v>389</v>
      </c>
      <c r="T122" s="864"/>
      <c r="U122" s="865"/>
      <c r="V122" s="212"/>
    </row>
    <row r="123" spans="1:22" s="694" customFormat="1" ht="50.1" customHeight="1" x14ac:dyDescent="0.2">
      <c r="A123" s="443" t="s">
        <v>353</v>
      </c>
      <c r="B123" s="443" t="s">
        <v>14</v>
      </c>
      <c r="C123" s="443" t="s">
        <v>354</v>
      </c>
      <c r="D123" s="443" t="s">
        <v>352</v>
      </c>
      <c r="E123" s="712">
        <v>3</v>
      </c>
      <c r="F123" s="443" t="s">
        <v>338</v>
      </c>
      <c r="G123" s="680" t="s">
        <v>367</v>
      </c>
      <c r="H123" s="707">
        <v>455</v>
      </c>
      <c r="I123" s="713">
        <v>650</v>
      </c>
      <c r="J123" s="443" t="s">
        <v>173</v>
      </c>
      <c r="K123" s="328"/>
      <c r="L123" s="328"/>
      <c r="M123" s="328">
        <v>77.53</v>
      </c>
      <c r="N123" s="328">
        <f t="shared" si="16"/>
        <v>50394.5</v>
      </c>
      <c r="O123" s="443"/>
      <c r="P123" s="328">
        <f t="shared" si="17"/>
        <v>35276.15</v>
      </c>
      <c r="Q123" s="660">
        <f t="shared" si="18"/>
        <v>0.70000000000000007</v>
      </c>
      <c r="R123" s="3"/>
      <c r="S123" s="757"/>
      <c r="T123" s="757"/>
      <c r="U123" s="757"/>
      <c r="V123" s="212"/>
    </row>
    <row r="124" spans="1:22" s="694" customFormat="1" ht="50.1" customHeight="1" thickBot="1" x14ac:dyDescent="0.25">
      <c r="A124" s="443" t="s">
        <v>355</v>
      </c>
      <c r="B124" s="443" t="s">
        <v>14</v>
      </c>
      <c r="C124" s="443" t="s">
        <v>356</v>
      </c>
      <c r="D124" s="443" t="s">
        <v>357</v>
      </c>
      <c r="E124" s="712">
        <v>1</v>
      </c>
      <c r="F124" s="443" t="s">
        <v>338</v>
      </c>
      <c r="G124" s="714">
        <v>44074</v>
      </c>
      <c r="H124" s="707">
        <v>770</v>
      </c>
      <c r="I124" s="713">
        <v>900</v>
      </c>
      <c r="J124" s="443" t="s">
        <v>173</v>
      </c>
      <c r="K124" s="328"/>
      <c r="L124" s="328"/>
      <c r="M124" s="328">
        <v>77.53</v>
      </c>
      <c r="N124" s="328">
        <f t="shared" si="16"/>
        <v>69777</v>
      </c>
      <c r="O124" s="443"/>
      <c r="P124" s="328">
        <f t="shared" si="17"/>
        <v>59698.1</v>
      </c>
      <c r="Q124" s="753">
        <f>+H124/I124</f>
        <v>0.85555555555555551</v>
      </c>
      <c r="R124" s="3"/>
      <c r="S124" s="757"/>
      <c r="T124" s="757"/>
      <c r="U124" s="757"/>
      <c r="V124" s="212"/>
    </row>
    <row r="125" spans="1:22" s="715" customFormat="1" ht="50.1" customHeight="1" thickBot="1" x14ac:dyDescent="0.25">
      <c r="A125" s="443"/>
      <c r="B125" s="443" t="s">
        <v>14</v>
      </c>
      <c r="C125" s="443" t="s">
        <v>356</v>
      </c>
      <c r="D125" s="443" t="s">
        <v>357</v>
      </c>
      <c r="E125" s="712">
        <v>1</v>
      </c>
      <c r="F125" s="443" t="s">
        <v>375</v>
      </c>
      <c r="G125" s="714">
        <v>44098</v>
      </c>
      <c r="H125" s="707">
        <v>350</v>
      </c>
      <c r="I125" s="713">
        <v>250</v>
      </c>
      <c r="J125" s="443" t="s">
        <v>173</v>
      </c>
      <c r="K125" s="328"/>
      <c r="L125" s="328"/>
      <c r="M125" s="328">
        <v>77.53</v>
      </c>
      <c r="N125" s="328">
        <f t="shared" ref="N125" si="19">+M125*I125</f>
        <v>19382.5</v>
      </c>
      <c r="O125" s="683"/>
      <c r="P125" s="328">
        <f t="shared" si="17"/>
        <v>27135.5</v>
      </c>
      <c r="Q125" s="755">
        <f>(+H125+H124)/I124</f>
        <v>1.2444444444444445</v>
      </c>
      <c r="R125" s="3"/>
      <c r="S125" s="863" t="s">
        <v>388</v>
      </c>
      <c r="T125" s="864"/>
      <c r="U125" s="865"/>
      <c r="V125" s="212"/>
    </row>
    <row r="126" spans="1:22" s="697" customFormat="1" ht="50.1" customHeight="1" x14ac:dyDescent="0.2">
      <c r="A126" s="324" t="s">
        <v>372</v>
      </c>
      <c r="B126" s="443" t="s">
        <v>368</v>
      </c>
      <c r="C126" s="443" t="s">
        <v>369</v>
      </c>
      <c r="D126" s="443" t="s">
        <v>370</v>
      </c>
      <c r="E126" s="712">
        <v>0.5</v>
      </c>
      <c r="F126" s="443" t="s">
        <v>371</v>
      </c>
      <c r="G126" s="714">
        <v>44075</v>
      </c>
      <c r="H126" s="707">
        <v>326.43</v>
      </c>
      <c r="I126" s="713">
        <v>300</v>
      </c>
      <c r="J126" s="443" t="s">
        <v>173</v>
      </c>
      <c r="K126" s="328"/>
      <c r="L126" s="328"/>
      <c r="M126" s="328"/>
      <c r="N126" s="328">
        <v>140</v>
      </c>
      <c r="O126" s="443"/>
      <c r="P126" s="328">
        <f>+M126*H126</f>
        <v>0</v>
      </c>
      <c r="Q126" s="660">
        <f>+P126/N126</f>
        <v>0</v>
      </c>
      <c r="R126" s="3"/>
      <c r="S126" s="3"/>
      <c r="T126" s="3"/>
      <c r="U126" s="212"/>
      <c r="V126" s="212"/>
    </row>
    <row r="127" spans="1:22" ht="39.950000000000003" customHeight="1" thickBot="1" x14ac:dyDescent="0.3">
      <c r="A127" s="81"/>
      <c r="B127" s="82"/>
      <c r="C127" s="82"/>
      <c r="D127" s="82"/>
      <c r="E127" s="83"/>
      <c r="F127" s="449"/>
      <c r="G127" s="661"/>
      <c r="H127" s="662">
        <f>H114+H118+H116+H109+H120+H122+H123+H124+H119+H125</f>
        <v>14682.44</v>
      </c>
      <c r="I127" s="662">
        <f>I114+I118+I116+I109+I120+I122+I123+I124+I125+I126+I119+I121</f>
        <v>14490</v>
      </c>
      <c r="J127" s="397" t="s">
        <v>11</v>
      </c>
      <c r="K127" s="403" t="s">
        <v>177</v>
      </c>
      <c r="L127" s="663">
        <f>L114+L118+L116+L109</f>
        <v>691450</v>
      </c>
      <c r="M127" s="403" t="s">
        <v>177</v>
      </c>
      <c r="N127" s="663">
        <f>N114+N118+N116+N109+N120+N122+N123+N124+N110+N112+N113+N119+N121+N125</f>
        <v>946120.3</v>
      </c>
      <c r="O127" s="664"/>
      <c r="P127" s="663">
        <f>P114+P118+P116+P109+P120+P122+P123+P124+P112+P119+P121+P125</f>
        <v>972926.67570000002</v>
      </c>
      <c r="Q127" s="545">
        <f t="shared" si="18"/>
        <v>1.0283329463494231</v>
      </c>
      <c r="R127" s="3"/>
      <c r="U127" s="212"/>
      <c r="V127" s="3"/>
    </row>
    <row r="128" spans="1:22" ht="30" customHeight="1" thickBot="1" x14ac:dyDescent="0.35">
      <c r="A128" s="860" t="s">
        <v>317</v>
      </c>
      <c r="B128" s="861"/>
      <c r="C128" s="861"/>
      <c r="D128" s="861"/>
      <c r="E128" s="861"/>
      <c r="F128" s="84"/>
      <c r="G128" s="625"/>
      <c r="H128" s="625"/>
      <c r="I128" s="311"/>
      <c r="J128" s="80"/>
      <c r="K128" s="80"/>
      <c r="L128" s="80"/>
      <c r="M128" s="223"/>
      <c r="N128" s="756"/>
      <c r="Q128" s="217"/>
      <c r="R128" s="3"/>
      <c r="U128" s="212"/>
      <c r="V128" s="3"/>
    </row>
    <row r="129" spans="1:22" ht="30" customHeight="1" thickBot="1" x14ac:dyDescent="0.4">
      <c r="A129" s="856" t="s">
        <v>306</v>
      </c>
      <c r="B129" s="855"/>
      <c r="C129" s="855"/>
      <c r="D129" s="855"/>
      <c r="E129" s="855"/>
      <c r="F129" s="320" t="s">
        <v>47</v>
      </c>
      <c r="G129" s="626"/>
      <c r="H129" s="626"/>
      <c r="I129" s="319" t="s">
        <v>8</v>
      </c>
      <c r="J129" s="319" t="s">
        <v>8</v>
      </c>
      <c r="K129" s="319" t="s">
        <v>3</v>
      </c>
      <c r="L129" s="319" t="s">
        <v>4</v>
      </c>
      <c r="M129" s="318" t="s">
        <v>3</v>
      </c>
      <c r="N129" s="312" t="s">
        <v>4</v>
      </c>
      <c r="R129" s="3"/>
      <c r="U129" s="212"/>
      <c r="V129" s="3"/>
    </row>
    <row r="130" spans="1:22" ht="30" customHeight="1" x14ac:dyDescent="0.25">
      <c r="A130" s="29"/>
      <c r="B130" s="21"/>
      <c r="C130" s="21"/>
      <c r="D130" s="21"/>
      <c r="E130" s="21"/>
      <c r="F130" s="134" t="s">
        <v>61</v>
      </c>
      <c r="G130" s="618"/>
      <c r="H130" s="618"/>
      <c r="I130" s="139">
        <v>3500</v>
      </c>
      <c r="J130" s="91" t="s">
        <v>9</v>
      </c>
      <c r="K130" s="239">
        <v>2.5</v>
      </c>
      <c r="L130" s="272">
        <f t="shared" ref="L130:L135" si="20">+K130*I130</f>
        <v>8750</v>
      </c>
      <c r="M130" s="281">
        <v>2.0499999999999998</v>
      </c>
      <c r="N130" s="281">
        <f t="shared" ref="N130:N135" si="21">+M130*I130</f>
        <v>7174.9999999999991</v>
      </c>
      <c r="R130" s="3"/>
      <c r="U130" s="212"/>
      <c r="V130" s="3"/>
    </row>
    <row r="131" spans="1:22" ht="24.95" customHeight="1" x14ac:dyDescent="0.25">
      <c r="A131" s="29"/>
      <c r="B131" s="21"/>
      <c r="C131" s="21"/>
      <c r="D131" s="21"/>
      <c r="E131" s="21"/>
      <c r="F131" s="134" t="s">
        <v>62</v>
      </c>
      <c r="G131" s="618"/>
      <c r="H131" s="618"/>
      <c r="I131" s="139">
        <v>7500</v>
      </c>
      <c r="J131" s="91" t="s">
        <v>9</v>
      </c>
      <c r="K131" s="239">
        <v>1.5</v>
      </c>
      <c r="L131" s="272">
        <f t="shared" si="20"/>
        <v>11250</v>
      </c>
      <c r="M131" s="239">
        <v>1.55</v>
      </c>
      <c r="N131" s="239">
        <f t="shared" si="21"/>
        <v>11625</v>
      </c>
      <c r="R131" s="3"/>
      <c r="U131" s="212"/>
      <c r="V131" s="3"/>
    </row>
    <row r="132" spans="1:22" ht="24.95" customHeight="1" thickBot="1" x14ac:dyDescent="0.3">
      <c r="A132" s="29"/>
      <c r="B132" s="21"/>
      <c r="C132" s="21"/>
      <c r="D132" s="21"/>
      <c r="E132" s="21"/>
      <c r="F132" s="134" t="s">
        <v>10</v>
      </c>
      <c r="G132" s="618"/>
      <c r="H132" s="618"/>
      <c r="I132" s="139">
        <v>25</v>
      </c>
      <c r="J132" s="91" t="s">
        <v>11</v>
      </c>
      <c r="K132" s="239">
        <v>200</v>
      </c>
      <c r="L132" s="272">
        <f t="shared" si="20"/>
        <v>5000</v>
      </c>
      <c r="M132" s="239">
        <v>190</v>
      </c>
      <c r="N132" s="239">
        <f t="shared" si="21"/>
        <v>4750</v>
      </c>
      <c r="R132" s="3"/>
      <c r="U132" s="212"/>
      <c r="V132" s="3"/>
    </row>
    <row r="133" spans="1:22" ht="24.95" customHeight="1" thickBot="1" x14ac:dyDescent="0.4">
      <c r="A133" s="29"/>
      <c r="B133" s="119"/>
      <c r="C133" s="75"/>
      <c r="D133" s="137" t="s">
        <v>76</v>
      </c>
      <c r="E133" s="87"/>
      <c r="F133" s="136" t="s">
        <v>12</v>
      </c>
      <c r="G133" s="618"/>
      <c r="H133" s="618"/>
      <c r="I133" s="139">
        <v>75</v>
      </c>
      <c r="J133" s="91" t="s">
        <v>11</v>
      </c>
      <c r="K133" s="239">
        <v>150</v>
      </c>
      <c r="L133" s="272">
        <f t="shared" si="20"/>
        <v>11250</v>
      </c>
      <c r="M133" s="239">
        <v>140</v>
      </c>
      <c r="N133" s="239">
        <f t="shared" si="21"/>
        <v>10500</v>
      </c>
      <c r="R133" s="3"/>
      <c r="U133" s="212"/>
      <c r="V133" s="3"/>
    </row>
    <row r="134" spans="1:22" ht="24.95" customHeight="1" x14ac:dyDescent="0.25">
      <c r="A134" s="860"/>
      <c r="B134" s="861"/>
      <c r="C134" s="861"/>
      <c r="D134" s="861"/>
      <c r="E134" s="861"/>
      <c r="F134" s="134" t="s">
        <v>13</v>
      </c>
      <c r="G134" s="618"/>
      <c r="H134" s="618"/>
      <c r="I134" s="139">
        <v>150</v>
      </c>
      <c r="J134" s="91" t="s">
        <v>11</v>
      </c>
      <c r="K134" s="239">
        <v>100</v>
      </c>
      <c r="L134" s="272">
        <f t="shared" si="20"/>
        <v>15000</v>
      </c>
      <c r="M134" s="239">
        <v>95</v>
      </c>
      <c r="N134" s="239">
        <f t="shared" si="21"/>
        <v>14250</v>
      </c>
      <c r="R134" s="3"/>
      <c r="U134" s="212"/>
      <c r="V134" s="3"/>
    </row>
    <row r="135" spans="1:22" ht="24.95" customHeight="1" thickBot="1" x14ac:dyDescent="0.3">
      <c r="A135" s="856"/>
      <c r="B135" s="855"/>
      <c r="C135" s="855"/>
      <c r="D135" s="855"/>
      <c r="E135" s="855"/>
      <c r="F135" s="135" t="s">
        <v>19</v>
      </c>
      <c r="G135" s="619"/>
      <c r="H135" s="619"/>
      <c r="I135" s="140">
        <v>250</v>
      </c>
      <c r="J135" s="142" t="s">
        <v>11</v>
      </c>
      <c r="K135" s="241">
        <v>80</v>
      </c>
      <c r="L135" s="273">
        <f t="shared" si="20"/>
        <v>20000</v>
      </c>
      <c r="M135" s="241">
        <v>90</v>
      </c>
      <c r="N135" s="241">
        <f t="shared" si="21"/>
        <v>22500</v>
      </c>
      <c r="R135" s="3"/>
      <c r="S135" s="3"/>
      <c r="T135" s="3"/>
      <c r="U135" s="212"/>
      <c r="V135" s="212"/>
    </row>
    <row r="136" spans="1:22" ht="24.95" customHeight="1" thickBot="1" x14ac:dyDescent="0.3">
      <c r="A136" s="856"/>
      <c r="B136" s="855"/>
      <c r="C136" s="855"/>
      <c r="D136" s="855"/>
      <c r="E136" s="855"/>
      <c r="F136" s="86"/>
      <c r="G136" s="253"/>
      <c r="H136" s="253"/>
      <c r="I136" s="225"/>
      <c r="J136" s="226"/>
      <c r="K136" s="310" t="s">
        <v>177</v>
      </c>
      <c r="L136" s="310">
        <f>SUM(L130:L135)</f>
        <v>71250</v>
      </c>
      <c r="M136" s="310" t="s">
        <v>177</v>
      </c>
      <c r="N136" s="310">
        <f>SUM(N130:N135)</f>
        <v>70800</v>
      </c>
      <c r="R136" s="3"/>
      <c r="U136" s="212"/>
      <c r="V136" s="3"/>
    </row>
    <row r="137" spans="1:22" ht="24.95" customHeight="1" x14ac:dyDescent="0.2">
      <c r="A137" s="14"/>
      <c r="B137" s="85"/>
      <c r="C137" s="85"/>
      <c r="D137" s="85"/>
      <c r="E137" s="85"/>
      <c r="F137" s="85"/>
      <c r="G137" s="627"/>
      <c r="H137" s="627"/>
      <c r="I137" s="85"/>
      <c r="J137" s="85"/>
      <c r="K137" s="85"/>
      <c r="L137" s="85"/>
      <c r="M137" s="224"/>
      <c r="N137" s="224"/>
      <c r="R137" s="3"/>
      <c r="S137" s="3"/>
      <c r="T137" s="3"/>
      <c r="U137" s="212"/>
      <c r="V137" s="212"/>
    </row>
    <row r="138" spans="1:22" ht="30" customHeight="1" x14ac:dyDescent="0.2">
      <c r="A138" s="48"/>
      <c r="B138" s="71"/>
      <c r="C138" s="71"/>
      <c r="D138" s="71"/>
      <c r="E138" s="72"/>
      <c r="F138" s="73"/>
      <c r="G138" s="624"/>
      <c r="H138" s="624"/>
      <c r="I138" s="74"/>
      <c r="J138" s="54"/>
      <c r="K138" s="54"/>
      <c r="L138" s="54"/>
      <c r="M138" s="219"/>
      <c r="N138" s="219"/>
      <c r="O138" s="48"/>
      <c r="R138" s="3"/>
      <c r="U138" s="212"/>
      <c r="V138" s="3"/>
    </row>
    <row r="139" spans="1:22" ht="30" customHeight="1" thickBot="1" x14ac:dyDescent="0.25">
      <c r="F139" s="396" t="str">
        <f>+F2</f>
        <v>UPDATED 11/18/2020 ERN</v>
      </c>
      <c r="G139" s="396"/>
      <c r="H139" s="396"/>
      <c r="M139" s="224"/>
      <c r="N139" s="224"/>
      <c r="R139" s="3"/>
      <c r="U139" s="212"/>
      <c r="V139" s="3"/>
    </row>
    <row r="140" spans="1:22" ht="30" customHeight="1" x14ac:dyDescent="0.2">
      <c r="B140" s="4"/>
      <c r="C140" s="4"/>
      <c r="D140" s="298" t="s">
        <v>314</v>
      </c>
      <c r="E140" s="297"/>
      <c r="H140" s="557" t="s">
        <v>236</v>
      </c>
      <c r="I140" s="557" t="s">
        <v>246</v>
      </c>
      <c r="K140" s="268" t="s">
        <v>189</v>
      </c>
      <c r="L140" s="77"/>
      <c r="M140" s="268" t="s">
        <v>176</v>
      </c>
      <c r="N140" s="269"/>
      <c r="O140" s="77"/>
      <c r="R140" s="3"/>
      <c r="U140" s="212"/>
      <c r="V140" s="3"/>
    </row>
    <row r="141" spans="1:22" ht="30" customHeight="1" x14ac:dyDescent="0.4">
      <c r="B141" s="235"/>
      <c r="C141" s="565" t="s">
        <v>315</v>
      </c>
      <c r="D141" s="869" t="s">
        <v>42</v>
      </c>
      <c r="E141" s="870"/>
      <c r="F141" s="871"/>
      <c r="G141" s="566">
        <f>+H141/I141</f>
        <v>1.0224610697359513</v>
      </c>
      <c r="H141" s="567">
        <f>+H20</f>
        <v>3020.3500000000004</v>
      </c>
      <c r="I141" s="567">
        <f>+I20</f>
        <v>2954</v>
      </c>
      <c r="J141" s="91" t="s">
        <v>11</v>
      </c>
      <c r="K141" s="91"/>
      <c r="L141" s="558">
        <f>+L20</f>
        <v>296900</v>
      </c>
      <c r="M141" s="239"/>
      <c r="N141" s="558">
        <f>+N20</f>
        <v>228008.12000000002</v>
      </c>
      <c r="O141" s="302"/>
      <c r="R141" s="3"/>
      <c r="U141" s="212"/>
      <c r="V141" s="3"/>
    </row>
    <row r="142" spans="1:22" ht="30" customHeight="1" x14ac:dyDescent="0.4">
      <c r="B142" s="235"/>
      <c r="C142" s="568" t="s">
        <v>316</v>
      </c>
      <c r="D142" s="872" t="s">
        <v>42</v>
      </c>
      <c r="E142" s="873"/>
      <c r="F142" s="874"/>
      <c r="G142" s="569"/>
      <c r="H142" s="570"/>
      <c r="I142" s="570"/>
      <c r="J142" s="549" t="s">
        <v>11</v>
      </c>
      <c r="K142" s="549"/>
      <c r="L142" s="559"/>
      <c r="M142" s="550"/>
      <c r="N142" s="559"/>
      <c r="O142" s="302"/>
      <c r="R142" s="3"/>
      <c r="U142" s="212"/>
      <c r="V142" s="3"/>
    </row>
    <row r="143" spans="1:22" ht="30" customHeight="1" x14ac:dyDescent="0.4">
      <c r="B143" s="235"/>
      <c r="C143" s="571"/>
      <c r="D143" s="572"/>
      <c r="E143" s="572"/>
      <c r="F143" s="571"/>
      <c r="G143" s="573"/>
      <c r="H143" s="574"/>
      <c r="I143" s="574"/>
      <c r="J143" s="554"/>
      <c r="K143" s="554"/>
      <c r="L143" s="555"/>
      <c r="M143" s="556"/>
      <c r="N143" s="555"/>
      <c r="O143" s="302"/>
      <c r="R143" s="3"/>
      <c r="U143" s="212"/>
      <c r="V143" s="3"/>
    </row>
    <row r="144" spans="1:22" ht="30" customHeight="1" x14ac:dyDescent="0.4">
      <c r="B144" s="235"/>
      <c r="C144" s="565" t="s">
        <v>315</v>
      </c>
      <c r="D144" s="869" t="s">
        <v>43</v>
      </c>
      <c r="E144" s="870"/>
      <c r="F144" s="871"/>
      <c r="G144" s="566">
        <f>+H144/I144</f>
        <v>1.0432191780821918</v>
      </c>
      <c r="H144" s="567">
        <f>+H44</f>
        <v>913.86</v>
      </c>
      <c r="I144" s="567">
        <f>+I44</f>
        <v>876</v>
      </c>
      <c r="J144" s="91" t="s">
        <v>11</v>
      </c>
      <c r="K144" s="91"/>
      <c r="L144" s="558">
        <f>+L44</f>
        <v>99050</v>
      </c>
      <c r="M144" s="239"/>
      <c r="N144" s="558">
        <f>+N44</f>
        <v>78993.100000000006</v>
      </c>
      <c r="O144" s="302"/>
      <c r="R144" s="3"/>
      <c r="U144" s="212"/>
      <c r="V144" s="3"/>
    </row>
    <row r="145" spans="1:22" ht="30" customHeight="1" x14ac:dyDescent="0.4">
      <c r="B145" s="235"/>
      <c r="C145" s="568" t="s">
        <v>316</v>
      </c>
      <c r="D145" s="872" t="s">
        <v>43</v>
      </c>
      <c r="E145" s="873"/>
      <c r="F145" s="874"/>
      <c r="G145" s="569"/>
      <c r="H145" s="570"/>
      <c r="I145" s="570"/>
      <c r="J145" s="549"/>
      <c r="K145" s="549"/>
      <c r="L145" s="559"/>
      <c r="M145" s="550"/>
      <c r="N145" s="559"/>
      <c r="O145" s="302"/>
      <c r="R145" s="3"/>
      <c r="U145" s="212"/>
      <c r="V145" s="3"/>
    </row>
    <row r="146" spans="1:22" ht="30" customHeight="1" x14ac:dyDescent="0.4">
      <c r="B146" s="235"/>
      <c r="C146" s="571"/>
      <c r="D146" s="572"/>
      <c r="E146" s="572"/>
      <c r="F146" s="571"/>
      <c r="G146" s="573"/>
      <c r="H146" s="574"/>
      <c r="I146" s="574"/>
      <c r="J146" s="554"/>
      <c r="K146" s="554"/>
      <c r="L146" s="555"/>
      <c r="M146" s="556"/>
      <c r="N146" s="555"/>
      <c r="O146" s="302"/>
      <c r="R146" s="3"/>
      <c r="U146" s="212"/>
      <c r="V146" s="3"/>
    </row>
    <row r="147" spans="1:22" ht="30" customHeight="1" x14ac:dyDescent="0.4">
      <c r="B147" s="235"/>
      <c r="C147" s="565" t="s">
        <v>315</v>
      </c>
      <c r="D147" s="869" t="s">
        <v>44</v>
      </c>
      <c r="E147" s="870"/>
      <c r="F147" s="871"/>
      <c r="G147" s="575"/>
      <c r="H147" s="576"/>
      <c r="I147" s="576"/>
      <c r="J147" s="443"/>
      <c r="K147" s="443"/>
      <c r="L147" s="564"/>
      <c r="M147" s="328"/>
      <c r="N147" s="564"/>
      <c r="O147" s="302"/>
      <c r="R147" s="3"/>
      <c r="U147" s="212"/>
      <c r="V147" s="3"/>
    </row>
    <row r="148" spans="1:22" ht="30" customHeight="1" x14ac:dyDescent="0.4">
      <c r="B148" s="235"/>
      <c r="C148" s="568" t="s">
        <v>316</v>
      </c>
      <c r="D148" s="872" t="s">
        <v>44</v>
      </c>
      <c r="E148" s="873"/>
      <c r="F148" s="874"/>
      <c r="G148" s="569">
        <f>+H148/I148</f>
        <v>0.97488284518828439</v>
      </c>
      <c r="H148" s="570">
        <f>+H66</f>
        <v>2329.9699999999998</v>
      </c>
      <c r="I148" s="570">
        <f>+I66</f>
        <v>2390</v>
      </c>
      <c r="J148" s="549" t="s">
        <v>11</v>
      </c>
      <c r="K148" s="549"/>
      <c r="L148" s="559">
        <f>+L66</f>
        <v>229310</v>
      </c>
      <c r="M148" s="550"/>
      <c r="N148" s="559">
        <f>+N66</f>
        <v>154870.39999999999</v>
      </c>
      <c r="O148" s="302"/>
      <c r="R148" s="3"/>
      <c r="U148" s="212"/>
      <c r="V148" s="3"/>
    </row>
    <row r="149" spans="1:22" ht="30" customHeight="1" x14ac:dyDescent="0.4">
      <c r="B149" s="235"/>
      <c r="C149" s="577"/>
      <c r="D149" s="578"/>
      <c r="E149" s="578"/>
      <c r="F149" s="577"/>
      <c r="G149" s="579"/>
      <c r="H149" s="580"/>
      <c r="I149" s="580"/>
      <c r="J149" s="560"/>
      <c r="K149" s="560"/>
      <c r="L149" s="562"/>
      <c r="M149" s="563"/>
      <c r="N149" s="562"/>
      <c r="O149" s="561"/>
      <c r="P149" s="547"/>
      <c r="R149" s="3"/>
      <c r="U149" s="212"/>
      <c r="V149" s="3"/>
    </row>
    <row r="150" spans="1:22" ht="30" customHeight="1" x14ac:dyDescent="0.4">
      <c r="B150" s="235"/>
      <c r="C150" s="565" t="s">
        <v>315</v>
      </c>
      <c r="D150" s="867" t="s">
        <v>45</v>
      </c>
      <c r="E150" s="867"/>
      <c r="F150" s="867"/>
      <c r="G150" s="566">
        <f>+H150/I150</f>
        <v>0.95561556964793348</v>
      </c>
      <c r="H150" s="567">
        <f>+H93</f>
        <v>4370.03</v>
      </c>
      <c r="I150" s="567">
        <f>+I93</f>
        <v>4573</v>
      </c>
      <c r="J150" s="91" t="s">
        <v>11</v>
      </c>
      <c r="K150" s="91"/>
      <c r="L150" s="558">
        <f>+L93</f>
        <v>88985.27</v>
      </c>
      <c r="M150" s="239"/>
      <c r="N150" s="558">
        <f>+N93</f>
        <v>287553.71999999997</v>
      </c>
      <c r="O150" s="302"/>
      <c r="R150" s="3"/>
      <c r="U150" s="212"/>
      <c r="V150" s="3"/>
    </row>
    <row r="151" spans="1:22" ht="30" customHeight="1" x14ac:dyDescent="0.4">
      <c r="B151" s="235"/>
      <c r="C151" s="568" t="s">
        <v>316</v>
      </c>
      <c r="D151" s="868" t="s">
        <v>45</v>
      </c>
      <c r="E151" s="868"/>
      <c r="F151" s="868"/>
      <c r="G151" s="569"/>
      <c r="H151" s="570"/>
      <c r="I151" s="570"/>
      <c r="J151" s="549"/>
      <c r="K151" s="549"/>
      <c r="L151" s="559"/>
      <c r="M151" s="550"/>
      <c r="N151" s="559"/>
      <c r="O151" s="302"/>
      <c r="R151" s="3"/>
      <c r="U151" s="212"/>
      <c r="V151" s="3"/>
    </row>
    <row r="152" spans="1:22" ht="30" customHeight="1" x14ac:dyDescent="0.4">
      <c r="B152" s="235"/>
      <c r="C152" s="581"/>
      <c r="D152" s="297"/>
      <c r="E152" s="297"/>
      <c r="F152" s="577"/>
      <c r="G152" s="579"/>
      <c r="H152" s="580"/>
      <c r="I152" s="580"/>
      <c r="J152" s="560"/>
      <c r="K152" s="560"/>
      <c r="L152" s="562"/>
      <c r="M152" s="563"/>
      <c r="N152" s="562"/>
      <c r="O152" s="561"/>
      <c r="P152" s="547"/>
      <c r="R152" s="3"/>
      <c r="U152" s="212"/>
      <c r="V152" s="3"/>
    </row>
    <row r="153" spans="1:22" ht="30" customHeight="1" x14ac:dyDescent="0.4">
      <c r="B153" s="235"/>
      <c r="C153" s="565" t="s">
        <v>315</v>
      </c>
      <c r="D153" s="585"/>
      <c r="E153" s="585"/>
      <c r="F153" s="586" t="s">
        <v>17</v>
      </c>
      <c r="G153" s="566"/>
      <c r="H153" s="567"/>
      <c r="I153" s="567"/>
      <c r="J153" s="91"/>
      <c r="K153" s="91"/>
      <c r="L153" s="558"/>
      <c r="M153" s="239"/>
      <c r="N153" s="558"/>
      <c r="O153" s="561"/>
      <c r="P153" s="547"/>
      <c r="R153" s="3"/>
      <c r="U153" s="212"/>
      <c r="V153" s="3"/>
    </row>
    <row r="154" spans="1:22" ht="30" customHeight="1" x14ac:dyDescent="0.2">
      <c r="C154" s="568" t="s">
        <v>316</v>
      </c>
      <c r="D154" s="588"/>
      <c r="E154" s="551"/>
      <c r="F154" s="551" t="s">
        <v>17</v>
      </c>
      <c r="G154" s="569">
        <f>+H154/I154</f>
        <v>1.0132808833678399</v>
      </c>
      <c r="H154" s="570">
        <f>+H127</f>
        <v>14682.44</v>
      </c>
      <c r="I154" s="570">
        <f>+I127</f>
        <v>14490</v>
      </c>
      <c r="J154" s="549" t="s">
        <v>11</v>
      </c>
      <c r="K154" s="548"/>
      <c r="L154" s="559">
        <f>+L127</f>
        <v>691450</v>
      </c>
      <c r="M154" s="550"/>
      <c r="N154" s="559">
        <f>+N127</f>
        <v>946120.3</v>
      </c>
      <c r="O154" s="303" t="s">
        <v>179</v>
      </c>
      <c r="R154" s="3"/>
      <c r="S154" s="3"/>
      <c r="T154" s="3"/>
      <c r="U154" s="212"/>
      <c r="V154" s="212"/>
    </row>
    <row r="155" spans="1:22" ht="30" customHeight="1" thickBot="1" x14ac:dyDescent="0.25">
      <c r="D155" s="297"/>
      <c r="E155" s="582"/>
      <c r="G155" s="583"/>
      <c r="H155" s="580"/>
      <c r="I155" s="580"/>
      <c r="J155" s="560"/>
      <c r="K155" s="584"/>
      <c r="L155" s="562"/>
      <c r="M155" s="563"/>
      <c r="N155" s="562"/>
      <c r="O155" s="587"/>
      <c r="P155" s="547"/>
      <c r="R155" s="3"/>
      <c r="S155" s="3"/>
      <c r="T155" s="3"/>
      <c r="U155" s="212"/>
      <c r="V155" s="212"/>
    </row>
    <row r="156" spans="1:22" ht="30" customHeight="1" thickBot="1" x14ac:dyDescent="0.45">
      <c r="F156" s="748">
        <f>+H156+I92+I65+I64</f>
        <v>27642.65</v>
      </c>
      <c r="G156" s="628"/>
      <c r="H156" s="654">
        <f>SUM(H141:H154)</f>
        <v>25316.65</v>
      </c>
      <c r="I156" s="591">
        <f>SUM(I141:I154)</f>
        <v>25283</v>
      </c>
      <c r="J156" s="592" t="s">
        <v>11</v>
      </c>
      <c r="K156" s="589" t="s">
        <v>178</v>
      </c>
      <c r="L156" s="590">
        <f>SUM(L141:L154)</f>
        <v>1405695.27</v>
      </c>
      <c r="M156" s="377" t="s">
        <v>178</v>
      </c>
      <c r="N156" s="378">
        <f>SUM(N141:N154)</f>
        <v>1695545.6400000001</v>
      </c>
      <c r="O156" s="306">
        <v>3.66</v>
      </c>
      <c r="R156" s="3"/>
      <c r="S156" s="3"/>
      <c r="T156" s="3"/>
      <c r="U156" s="212"/>
      <c r="V156" s="212"/>
    </row>
    <row r="157" spans="1:22" ht="24.95" customHeight="1" thickBot="1" x14ac:dyDescent="0.3">
      <c r="K157" s="7"/>
      <c r="L157" s="7"/>
      <c r="M157" s="223"/>
      <c r="N157" s="612">
        <f>+N156/L156</f>
        <v>1.206197158221924</v>
      </c>
      <c r="O157" s="307">
        <v>3.79</v>
      </c>
      <c r="U157" s="11"/>
    </row>
    <row r="158" spans="1:22" ht="30" customHeight="1" x14ac:dyDescent="0.2">
      <c r="A158" s="48"/>
      <c r="B158" s="71"/>
      <c r="C158" s="71"/>
      <c r="D158" s="71"/>
      <c r="E158" s="72"/>
      <c r="F158" s="73"/>
      <c r="G158" s="624"/>
      <c r="H158" s="624"/>
      <c r="I158" s="74"/>
      <c r="J158" s="54"/>
      <c r="K158" s="54"/>
      <c r="L158" s="54"/>
      <c r="M158" s="219"/>
      <c r="N158" s="219"/>
      <c r="O158" s="48"/>
      <c r="U158" s="11"/>
    </row>
    <row r="159" spans="1:22" ht="30" customHeight="1" x14ac:dyDescent="0.2">
      <c r="M159" s="224"/>
      <c r="N159" s="224"/>
      <c r="O159" s="296"/>
      <c r="U159" s="11"/>
    </row>
    <row r="160" spans="1:22" ht="30" customHeight="1" x14ac:dyDescent="0.35">
      <c r="C160" s="75"/>
      <c r="D160" s="75"/>
      <c r="M160" s="224"/>
      <c r="N160" s="224"/>
      <c r="O160" s="296"/>
      <c r="U160" s="11"/>
    </row>
    <row r="161" spans="3:21" ht="30" customHeight="1" x14ac:dyDescent="0.35">
      <c r="C161" s="380"/>
      <c r="D161" s="75"/>
      <c r="F161" s="483"/>
      <c r="M161" s="224"/>
      <c r="N161" s="224"/>
      <c r="O161" s="296"/>
      <c r="U161" s="11"/>
    </row>
    <row r="162" spans="3:21" ht="30" customHeight="1" x14ac:dyDescent="0.25">
      <c r="C162" s="380"/>
      <c r="M162" s="224"/>
      <c r="N162" s="224"/>
      <c r="O162" s="296"/>
      <c r="U162" s="11"/>
    </row>
    <row r="163" spans="3:21" ht="30" customHeight="1" x14ac:dyDescent="0.25">
      <c r="C163" s="380"/>
      <c r="M163" s="224"/>
      <c r="N163" s="224"/>
      <c r="O163" s="296"/>
      <c r="U163" s="11"/>
    </row>
    <row r="164" spans="3:21" ht="30" customHeight="1" x14ac:dyDescent="0.25">
      <c r="C164" s="380"/>
      <c r="M164" s="224"/>
      <c r="N164" s="224"/>
      <c r="O164" s="296"/>
      <c r="U164" s="11"/>
    </row>
    <row r="165" spans="3:21" ht="30" customHeight="1" x14ac:dyDescent="0.25">
      <c r="C165" s="380"/>
      <c r="F165" s="547"/>
      <c r="G165" s="629"/>
      <c r="H165" s="629"/>
      <c r="I165" s="547"/>
      <c r="J165" s="547"/>
      <c r="K165" s="547"/>
      <c r="L165" s="547"/>
      <c r="M165" s="604"/>
      <c r="N165" s="604"/>
      <c r="O165" s="605"/>
      <c r="P165" s="547"/>
      <c r="Q165" s="547"/>
      <c r="U165" s="11"/>
    </row>
    <row r="166" spans="3:21" ht="30" customHeight="1" x14ac:dyDescent="0.2">
      <c r="F166" s="547"/>
      <c r="G166" s="629"/>
      <c r="H166" s="629"/>
      <c r="I166" s="547"/>
      <c r="J166" s="547"/>
      <c r="K166" s="547"/>
      <c r="L166" s="547"/>
      <c r="M166" s="604"/>
      <c r="N166" s="604"/>
      <c r="O166" s="605"/>
      <c r="P166" s="547"/>
      <c r="Q166" s="547"/>
    </row>
    <row r="167" spans="3:21" ht="30" customHeight="1" x14ac:dyDescent="0.2">
      <c r="F167" s="547"/>
      <c r="G167" s="629"/>
      <c r="H167" s="629"/>
      <c r="I167" s="547"/>
      <c r="J167" s="547"/>
      <c r="K167" s="547"/>
      <c r="L167" s="547"/>
      <c r="M167" s="604"/>
      <c r="N167" s="604"/>
      <c r="O167" s="605"/>
      <c r="P167" s="547"/>
      <c r="Q167" s="547"/>
    </row>
    <row r="168" spans="3:21" ht="30" customHeight="1" x14ac:dyDescent="0.2">
      <c r="F168" s="547"/>
      <c r="G168" s="629"/>
      <c r="H168" s="629"/>
      <c r="I168" s="547"/>
      <c r="J168" s="547"/>
      <c r="K168" s="547"/>
      <c r="L168" s="547"/>
      <c r="M168" s="604"/>
      <c r="N168" s="604"/>
      <c r="O168" s="605"/>
      <c r="P168" s="547"/>
      <c r="Q168" s="547"/>
    </row>
    <row r="169" spans="3:21" ht="30" customHeight="1" x14ac:dyDescent="0.2">
      <c r="F169" s="547"/>
      <c r="G169" s="629"/>
      <c r="H169" s="629"/>
      <c r="I169" s="547"/>
      <c r="J169" s="547"/>
      <c r="K169" s="547"/>
      <c r="L169" s="547"/>
      <c r="M169" s="604"/>
      <c r="N169" s="604"/>
      <c r="O169" s="605"/>
      <c r="P169" s="606"/>
      <c r="Q169" s="547"/>
    </row>
    <row r="170" spans="3:21" ht="30" customHeight="1" x14ac:dyDescent="0.2">
      <c r="F170" s="607"/>
      <c r="G170" s="607"/>
      <c r="H170" s="607"/>
      <c r="I170" s="608"/>
      <c r="J170" s="547"/>
      <c r="K170" s="547"/>
      <c r="L170" s="604"/>
      <c r="M170" s="563"/>
      <c r="N170" s="563"/>
      <c r="O170" s="547"/>
      <c r="P170" s="609"/>
      <c r="Q170" s="547"/>
    </row>
    <row r="171" spans="3:21" ht="30" customHeight="1" x14ac:dyDescent="0.2">
      <c r="F171" s="607"/>
      <c r="G171" s="607"/>
      <c r="H171" s="607"/>
      <c r="I171" s="608"/>
      <c r="J171" s="547"/>
      <c r="K171" s="547"/>
      <c r="L171" s="547"/>
      <c r="M171" s="563"/>
      <c r="N171" s="563"/>
      <c r="O171" s="547"/>
      <c r="P171" s="609"/>
      <c r="Q171" s="547"/>
    </row>
    <row r="172" spans="3:21" ht="30" customHeight="1" x14ac:dyDescent="0.2">
      <c r="F172" s="607"/>
      <c r="G172" s="607"/>
      <c r="H172" s="607"/>
      <c r="I172" s="608"/>
      <c r="J172" s="547"/>
      <c r="K172" s="547"/>
      <c r="L172" s="547"/>
      <c r="M172" s="563"/>
      <c r="N172" s="563"/>
      <c r="O172" s="547"/>
      <c r="P172" s="609"/>
      <c r="Q172" s="547"/>
    </row>
    <row r="173" spans="3:21" ht="30" customHeight="1" x14ac:dyDescent="0.2">
      <c r="F173" s="607"/>
      <c r="G173" s="607"/>
      <c r="H173" s="607"/>
      <c r="I173" s="608"/>
      <c r="J173" s="547"/>
      <c r="K173" s="547"/>
      <c r="L173" s="606"/>
      <c r="M173" s="610"/>
      <c r="N173" s="610"/>
      <c r="O173" s="547"/>
      <c r="P173" s="609"/>
      <c r="Q173" s="547"/>
    </row>
    <row r="174" spans="3:21" ht="30" customHeight="1" x14ac:dyDescent="0.2">
      <c r="F174" s="607"/>
      <c r="G174" s="607"/>
      <c r="H174" s="607"/>
      <c r="I174" s="608"/>
      <c r="J174" s="547"/>
      <c r="K174" s="547"/>
      <c r="L174" s="547"/>
      <c r="M174" s="604"/>
      <c r="N174" s="604"/>
      <c r="O174" s="547"/>
      <c r="P174" s="547"/>
      <c r="Q174" s="547"/>
    </row>
    <row r="175" spans="3:21" ht="30" customHeight="1" x14ac:dyDescent="0.2">
      <c r="F175" s="607"/>
      <c r="G175" s="607"/>
      <c r="H175" s="607"/>
      <c r="I175" s="608"/>
      <c r="J175" s="547"/>
      <c r="K175" s="547"/>
      <c r="L175" s="547"/>
      <c r="M175" s="604"/>
      <c r="N175" s="604"/>
      <c r="O175" s="547"/>
      <c r="P175" s="547"/>
      <c r="Q175" s="547"/>
    </row>
    <row r="176" spans="3:21" ht="30" customHeight="1" x14ac:dyDescent="0.2">
      <c r="F176" s="547"/>
      <c r="G176" s="629"/>
      <c r="H176" s="629"/>
      <c r="I176" s="547"/>
      <c r="J176" s="547"/>
      <c r="K176" s="547"/>
      <c r="L176" s="547"/>
      <c r="M176" s="604"/>
      <c r="N176" s="604"/>
      <c r="O176" s="547"/>
      <c r="P176" s="547"/>
      <c r="Q176" s="547"/>
    </row>
    <row r="177" spans="6:17" ht="30" customHeight="1" x14ac:dyDescent="0.2">
      <c r="F177" s="547"/>
      <c r="G177" s="629"/>
      <c r="H177" s="629"/>
      <c r="I177" s="547"/>
      <c r="J177" s="547"/>
      <c r="K177" s="547"/>
      <c r="L177" s="547"/>
      <c r="M177" s="604"/>
      <c r="N177" s="604"/>
      <c r="O177" s="547"/>
      <c r="P177" s="547"/>
      <c r="Q177" s="547"/>
    </row>
    <row r="178" spans="6:17" ht="30" customHeight="1" x14ac:dyDescent="0.2">
      <c r="F178" s="547"/>
      <c r="G178" s="629"/>
      <c r="H178" s="629"/>
      <c r="I178" s="547"/>
      <c r="J178" s="547"/>
      <c r="K178" s="547"/>
      <c r="L178" s="547"/>
      <c r="M178" s="604"/>
      <c r="N178" s="604"/>
      <c r="O178" s="547"/>
      <c r="P178" s="547"/>
      <c r="Q178" s="547"/>
    </row>
    <row r="179" spans="6:17" ht="30" customHeight="1" x14ac:dyDescent="0.2">
      <c r="F179" s="547"/>
      <c r="G179" s="629"/>
      <c r="H179" s="629"/>
      <c r="I179" s="547"/>
      <c r="J179" s="547"/>
      <c r="K179" s="547"/>
      <c r="L179" s="547"/>
      <c r="M179" s="604"/>
      <c r="N179" s="604"/>
      <c r="O179" s="547"/>
      <c r="P179" s="547"/>
      <c r="Q179" s="547"/>
    </row>
    <row r="180" spans="6:17" ht="30" customHeight="1" x14ac:dyDescent="0.2"/>
    <row r="181" spans="6:17" ht="30" customHeight="1" x14ac:dyDescent="0.2"/>
    <row r="182" spans="6:17" ht="30" customHeight="1" x14ac:dyDescent="0.2"/>
    <row r="183" spans="6:17" ht="30" customHeight="1" x14ac:dyDescent="0.2"/>
    <row r="184" spans="6:17" ht="30" customHeight="1" x14ac:dyDescent="0.2"/>
    <row r="185" spans="6:17" ht="30" customHeight="1" x14ac:dyDescent="0.2"/>
    <row r="186" spans="6:17" ht="30" customHeight="1" x14ac:dyDescent="0.2"/>
    <row r="187" spans="6:17" ht="30" customHeight="1" x14ac:dyDescent="0.2"/>
    <row r="188" spans="6:17" ht="30" customHeight="1" x14ac:dyDescent="0.2"/>
    <row r="189" spans="6:17" ht="30" customHeight="1" x14ac:dyDescent="0.2"/>
    <row r="190" spans="6:17" ht="30" customHeight="1" x14ac:dyDescent="0.2"/>
    <row r="191" spans="6:17" ht="30" customHeight="1" x14ac:dyDescent="0.2"/>
    <row r="192" spans="6:17" ht="30" customHeight="1" x14ac:dyDescent="0.2"/>
    <row r="193" ht="30" customHeight="1" x14ac:dyDescent="0.2"/>
  </sheetData>
  <mergeCells count="44">
    <mergeCell ref="A102:E102"/>
    <mergeCell ref="A107:C107"/>
    <mergeCell ref="A134:E134"/>
    <mergeCell ref="A135:E135"/>
    <mergeCell ref="A136:E136"/>
    <mergeCell ref="A101:E101"/>
    <mergeCell ref="A53:E53"/>
    <mergeCell ref="A58:J58"/>
    <mergeCell ref="B69:D69"/>
    <mergeCell ref="B70:D70"/>
    <mergeCell ref="B71:C71"/>
    <mergeCell ref="A74:E74"/>
    <mergeCell ref="A75:E75"/>
    <mergeCell ref="A80:J80"/>
    <mergeCell ref="B96:D96"/>
    <mergeCell ref="B97:D97"/>
    <mergeCell ref="B98:C98"/>
    <mergeCell ref="G62:H62"/>
    <mergeCell ref="A52:E52"/>
    <mergeCell ref="G37:H37"/>
    <mergeCell ref="A2:D2"/>
    <mergeCell ref="A4:J4"/>
    <mergeCell ref="B23:D23"/>
    <mergeCell ref="B24:D24"/>
    <mergeCell ref="B25:C25"/>
    <mergeCell ref="A28:E28"/>
    <mergeCell ref="A29:E29"/>
    <mergeCell ref="A34:J34"/>
    <mergeCell ref="B47:D47"/>
    <mergeCell ref="B48:D48"/>
    <mergeCell ref="B49:C49"/>
    <mergeCell ref="S125:U125"/>
    <mergeCell ref="S109:U109"/>
    <mergeCell ref="S122:U122"/>
    <mergeCell ref="D150:F150"/>
    <mergeCell ref="D151:F151"/>
    <mergeCell ref="A128:E128"/>
    <mergeCell ref="A129:E129"/>
    <mergeCell ref="D141:F141"/>
    <mergeCell ref="D142:F142"/>
    <mergeCell ref="D144:F144"/>
    <mergeCell ref="D145:F145"/>
    <mergeCell ref="D147:F147"/>
    <mergeCell ref="D148:F148"/>
  </mergeCells>
  <printOptions gridLines="1"/>
  <pageMargins left="0.75" right="0.25" top="0.25" bottom="0.25" header="0" footer="0"/>
  <pageSetup paperSize="3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C4AD-1ED6-4DF3-8F68-E0E710AE7FFF}">
  <sheetPr>
    <pageSetUpPr fitToPage="1"/>
  </sheetPr>
  <dimension ref="A1:Q183"/>
  <sheetViews>
    <sheetView tabSelected="1" zoomScale="75" zoomScaleNormal="75" workbookViewId="0">
      <selection activeCell="B70" sqref="B70"/>
    </sheetView>
  </sheetViews>
  <sheetFormatPr defaultRowHeight="12.75" x14ac:dyDescent="0.2"/>
  <cols>
    <col min="1" max="1" width="10.7109375" style="4" customWidth="1"/>
    <col min="2" max="2" width="24.85546875" style="786" customWidth="1"/>
    <col min="3" max="3" width="34.140625" style="786" customWidth="1"/>
    <col min="4" max="4" width="74" style="786" customWidth="1"/>
    <col min="5" max="5" width="15.5703125" style="786" bestFit="1" customWidth="1"/>
    <col min="6" max="6" width="104.85546875" style="786" customWidth="1"/>
    <col min="7" max="7" width="18.42578125" style="614" hidden="1" customWidth="1"/>
    <col min="8" max="8" width="19.5703125" style="614" hidden="1" customWidth="1"/>
    <col min="9" max="9" width="18" style="786" customWidth="1"/>
    <col min="10" max="10" width="11.5703125" style="786" customWidth="1"/>
    <col min="11" max="11" width="22.7109375" style="786" customWidth="1"/>
    <col min="12" max="12" width="22.5703125" style="786" customWidth="1"/>
    <col min="13" max="13" width="6.5703125" style="786" customWidth="1"/>
    <col min="14" max="14" width="15.85546875" style="786" customWidth="1"/>
    <col min="15" max="15" width="16.85546875" style="786" bestFit="1" customWidth="1"/>
    <col min="16" max="16" width="17" style="786" bestFit="1" customWidth="1"/>
    <col min="17" max="17" width="18.85546875" style="786" customWidth="1"/>
    <col min="18" max="16384" width="9.140625" style="786"/>
  </cols>
  <sheetData>
    <row r="1" spans="1:16" ht="9.9499999999999993" customHeight="1" x14ac:dyDescent="0.25">
      <c r="A1" s="896"/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</row>
    <row r="2" spans="1:16" ht="35.1" customHeight="1" x14ac:dyDescent="0.5">
      <c r="A2" s="854" t="s">
        <v>401</v>
      </c>
      <c r="B2" s="855"/>
      <c r="C2" s="855"/>
      <c r="D2" s="855"/>
      <c r="F2" s="790"/>
      <c r="G2" s="790"/>
      <c r="H2" s="790"/>
      <c r="I2" s="330"/>
      <c r="J2" s="331"/>
      <c r="K2" s="613"/>
      <c r="L2" s="454"/>
    </row>
    <row r="3" spans="1:16" ht="9.9499999999999993" customHeight="1" x14ac:dyDescent="0.5">
      <c r="A3" s="39"/>
      <c r="B3" s="40"/>
      <c r="C3" s="76"/>
      <c r="D3" s="76"/>
      <c r="E3" s="76"/>
      <c r="F3" s="76"/>
      <c r="G3" s="615"/>
      <c r="H3" s="615"/>
      <c r="I3" s="76"/>
      <c r="J3" s="76"/>
      <c r="K3" s="42"/>
      <c r="L3" s="42"/>
    </row>
    <row r="4" spans="1:16" ht="35.1" customHeight="1" thickBot="1" x14ac:dyDescent="0.45">
      <c r="A4" s="852" t="s">
        <v>42</v>
      </c>
      <c r="B4" s="852"/>
      <c r="C4" s="852"/>
      <c r="D4" s="853"/>
      <c r="E4" s="853"/>
      <c r="F4" s="853"/>
      <c r="G4" s="853"/>
      <c r="H4" s="862"/>
      <c r="I4" s="853"/>
      <c r="J4" s="853"/>
      <c r="K4" s="802"/>
      <c r="L4" s="802"/>
    </row>
    <row r="5" spans="1:16" ht="24.95" customHeight="1" thickBot="1" x14ac:dyDescent="0.45">
      <c r="A5" s="38"/>
      <c r="B5" s="38"/>
      <c r="C5" s="38"/>
      <c r="E5" s="37" t="s">
        <v>24</v>
      </c>
      <c r="G5" s="616"/>
      <c r="H5" s="407" t="s">
        <v>236</v>
      </c>
      <c r="I5" s="407" t="s">
        <v>235</v>
      </c>
      <c r="J5" s="801"/>
      <c r="K5" s="897" t="s">
        <v>473</v>
      </c>
      <c r="L5" s="898"/>
      <c r="M5" s="210"/>
    </row>
    <row r="6" spans="1:16" ht="24.95" customHeight="1" thickBot="1" x14ac:dyDescent="0.4">
      <c r="A6" s="37" t="s">
        <v>7</v>
      </c>
      <c r="B6" s="75" t="s">
        <v>0</v>
      </c>
      <c r="C6" s="75" t="s">
        <v>1</v>
      </c>
      <c r="D6" s="75" t="s">
        <v>6</v>
      </c>
      <c r="E6" s="37" t="s">
        <v>391</v>
      </c>
      <c r="F6" s="75" t="s">
        <v>2</v>
      </c>
      <c r="G6" s="408" t="s">
        <v>238</v>
      </c>
      <c r="H6" s="408" t="s">
        <v>237</v>
      </c>
      <c r="I6" s="418" t="s">
        <v>16</v>
      </c>
      <c r="J6" s="539" t="s">
        <v>8</v>
      </c>
      <c r="K6" s="820" t="s">
        <v>3</v>
      </c>
      <c r="L6" s="821" t="s">
        <v>4</v>
      </c>
    </row>
    <row r="7" spans="1:16" ht="35.1" customHeight="1" x14ac:dyDescent="0.25">
      <c r="A7" s="332" t="s">
        <v>83</v>
      </c>
      <c r="B7" s="89" t="s">
        <v>15</v>
      </c>
      <c r="C7" s="333" t="s">
        <v>414</v>
      </c>
      <c r="D7" s="89" t="s">
        <v>428</v>
      </c>
      <c r="E7" s="90">
        <v>0.11</v>
      </c>
      <c r="F7" s="456" t="s">
        <v>426</v>
      </c>
      <c r="G7" s="655"/>
      <c r="H7" s="656"/>
      <c r="I7" s="138">
        <v>310</v>
      </c>
      <c r="J7" s="91" t="s">
        <v>11</v>
      </c>
      <c r="K7" s="831">
        <v>0</v>
      </c>
      <c r="L7" s="239">
        <f>+K7*I7</f>
        <v>0</v>
      </c>
      <c r="M7" s="208"/>
      <c r="N7" s="759"/>
      <c r="O7" s="759"/>
      <c r="P7" s="760"/>
    </row>
    <row r="8" spans="1:16" ht="35.1" customHeight="1" x14ac:dyDescent="0.25">
      <c r="A8" s="332"/>
      <c r="B8" s="89"/>
      <c r="C8" s="333"/>
      <c r="D8" s="89"/>
      <c r="E8" s="90"/>
      <c r="F8" s="107" t="s">
        <v>470</v>
      </c>
      <c r="G8" s="655"/>
      <c r="H8" s="656"/>
      <c r="I8" s="138"/>
      <c r="J8" s="91"/>
      <c r="K8" s="239"/>
      <c r="L8" s="239"/>
      <c r="M8" s="208"/>
      <c r="N8" s="759"/>
      <c r="O8" s="759"/>
      <c r="P8" s="760"/>
    </row>
    <row r="9" spans="1:16" ht="35.1" customHeight="1" x14ac:dyDescent="0.25">
      <c r="A9" s="332" t="s">
        <v>84</v>
      </c>
      <c r="B9" s="89" t="s">
        <v>15</v>
      </c>
      <c r="C9" s="333" t="s">
        <v>392</v>
      </c>
      <c r="D9" s="89" t="s">
        <v>429</v>
      </c>
      <c r="E9" s="90">
        <v>0.75</v>
      </c>
      <c r="F9" s="333" t="s">
        <v>427</v>
      </c>
      <c r="G9" s="655"/>
      <c r="H9" s="656"/>
      <c r="I9" s="138">
        <v>961</v>
      </c>
      <c r="J9" s="91" t="s">
        <v>11</v>
      </c>
      <c r="K9" s="831">
        <v>0</v>
      </c>
      <c r="L9" s="239">
        <f>+K9*I9</f>
        <v>0</v>
      </c>
      <c r="M9" s="208"/>
      <c r="N9" s="759"/>
      <c r="O9" s="759"/>
      <c r="P9" s="760"/>
    </row>
    <row r="10" spans="1:16" ht="35.1" customHeight="1" x14ac:dyDescent="0.2">
      <c r="A10" s="527" t="s">
        <v>86</v>
      </c>
      <c r="B10" s="89" t="s">
        <v>15</v>
      </c>
      <c r="C10" s="333" t="s">
        <v>415</v>
      </c>
      <c r="D10" s="333" t="s">
        <v>430</v>
      </c>
      <c r="E10" s="334">
        <v>0.14000000000000001</v>
      </c>
      <c r="F10" s="333" t="s">
        <v>424</v>
      </c>
      <c r="G10" s="431"/>
      <c r="H10" s="334"/>
      <c r="I10" s="443">
        <v>140</v>
      </c>
      <c r="J10" s="91" t="s">
        <v>11</v>
      </c>
      <c r="K10" s="831">
        <v>0</v>
      </c>
      <c r="L10" s="239">
        <f>+K10*I10</f>
        <v>0</v>
      </c>
      <c r="N10" s="759"/>
      <c r="O10" s="759"/>
      <c r="P10" s="760"/>
    </row>
    <row r="11" spans="1:16" ht="35.1" customHeight="1" x14ac:dyDescent="0.2">
      <c r="A11" s="527" t="s">
        <v>90</v>
      </c>
      <c r="B11" s="89" t="s">
        <v>15</v>
      </c>
      <c r="C11" s="333" t="s">
        <v>416</v>
      </c>
      <c r="D11" s="333" t="s">
        <v>431</v>
      </c>
      <c r="E11" s="334">
        <v>0.14000000000000001</v>
      </c>
      <c r="F11" s="333" t="s">
        <v>425</v>
      </c>
      <c r="G11" s="431"/>
      <c r="H11" s="334"/>
      <c r="I11" s="443">
        <v>220</v>
      </c>
      <c r="J11" s="91" t="s">
        <v>11</v>
      </c>
      <c r="K11" s="831">
        <v>0</v>
      </c>
      <c r="L11" s="239">
        <f t="shared" ref="L11:L20" si="0">+K11*I11</f>
        <v>0</v>
      </c>
      <c r="N11" s="759"/>
      <c r="O11" s="759"/>
      <c r="P11" s="760"/>
    </row>
    <row r="12" spans="1:16" ht="35.1" customHeight="1" x14ac:dyDescent="0.2">
      <c r="A12" s="527" t="s">
        <v>93</v>
      </c>
      <c r="B12" s="333" t="s">
        <v>15</v>
      </c>
      <c r="C12" s="333" t="s">
        <v>417</v>
      </c>
      <c r="D12" s="456" t="s">
        <v>432</v>
      </c>
      <c r="E12" s="334">
        <v>0.18</v>
      </c>
      <c r="F12" s="333" t="s">
        <v>424</v>
      </c>
      <c r="G12" s="431"/>
      <c r="H12" s="334"/>
      <c r="I12" s="443">
        <v>186</v>
      </c>
      <c r="J12" s="91" t="s">
        <v>11</v>
      </c>
      <c r="K12" s="831">
        <v>0</v>
      </c>
      <c r="L12" s="239">
        <f t="shared" si="0"/>
        <v>0</v>
      </c>
      <c r="N12" s="759"/>
      <c r="O12" s="759"/>
      <c r="P12" s="760"/>
    </row>
    <row r="13" spans="1:16" ht="35.1" customHeight="1" x14ac:dyDescent="0.2">
      <c r="A13" s="332" t="s">
        <v>97</v>
      </c>
      <c r="B13" s="333" t="s">
        <v>15</v>
      </c>
      <c r="C13" s="333" t="s">
        <v>418</v>
      </c>
      <c r="D13" s="333" t="s">
        <v>419</v>
      </c>
      <c r="E13" s="334">
        <v>7.0000000000000007E-2</v>
      </c>
      <c r="F13" s="333" t="s">
        <v>424</v>
      </c>
      <c r="G13" s="431"/>
      <c r="H13" s="334"/>
      <c r="I13" s="138">
        <v>248</v>
      </c>
      <c r="J13" s="91" t="s">
        <v>11</v>
      </c>
      <c r="K13" s="831">
        <v>0</v>
      </c>
      <c r="L13" s="239">
        <f t="shared" si="0"/>
        <v>0</v>
      </c>
      <c r="N13" s="759"/>
      <c r="O13" s="759"/>
      <c r="P13" s="760"/>
    </row>
    <row r="14" spans="1:16" ht="35.1" customHeight="1" x14ac:dyDescent="0.2">
      <c r="A14" s="332" t="s">
        <v>100</v>
      </c>
      <c r="B14" s="333" t="s">
        <v>15</v>
      </c>
      <c r="C14" s="333" t="s">
        <v>420</v>
      </c>
      <c r="D14" s="333" t="s">
        <v>421</v>
      </c>
      <c r="E14" s="334">
        <v>0.35</v>
      </c>
      <c r="F14" s="333" t="s">
        <v>424</v>
      </c>
      <c r="G14" s="737"/>
      <c r="H14" s="693"/>
      <c r="I14" s="138">
        <v>373</v>
      </c>
      <c r="J14" s="91" t="s">
        <v>11</v>
      </c>
      <c r="K14" s="831">
        <v>0</v>
      </c>
      <c r="L14" s="239">
        <f t="shared" si="0"/>
        <v>0</v>
      </c>
      <c r="N14" s="759"/>
      <c r="O14" s="759"/>
      <c r="P14" s="760"/>
    </row>
    <row r="15" spans="1:16" ht="35.1" customHeight="1" x14ac:dyDescent="0.2">
      <c r="A15" s="332" t="s">
        <v>103</v>
      </c>
      <c r="B15" s="333" t="s">
        <v>15</v>
      </c>
      <c r="C15" s="333" t="s">
        <v>422</v>
      </c>
      <c r="D15" s="333" t="s">
        <v>423</v>
      </c>
      <c r="E15" s="334">
        <v>0.13</v>
      </c>
      <c r="F15" s="333" t="s">
        <v>424</v>
      </c>
      <c r="G15" s="737"/>
      <c r="H15" s="693"/>
      <c r="I15" s="138">
        <v>158</v>
      </c>
      <c r="J15" s="91" t="s">
        <v>11</v>
      </c>
      <c r="K15" s="831">
        <v>0</v>
      </c>
      <c r="L15" s="239">
        <f t="shared" si="0"/>
        <v>0</v>
      </c>
      <c r="N15" s="759"/>
      <c r="O15" s="759"/>
      <c r="P15" s="760"/>
    </row>
    <row r="16" spans="1:16" ht="35.1" customHeight="1" x14ac:dyDescent="0.2">
      <c r="A16" s="293" t="s">
        <v>288</v>
      </c>
      <c r="B16" s="325" t="s">
        <v>399</v>
      </c>
      <c r="C16" s="325" t="s">
        <v>398</v>
      </c>
      <c r="D16" s="325" t="s">
        <v>412</v>
      </c>
      <c r="E16" s="326">
        <v>1.98</v>
      </c>
      <c r="F16" s="779" t="s">
        <v>433</v>
      </c>
      <c r="G16" s="798"/>
      <c r="H16" s="799"/>
      <c r="I16" s="141">
        <v>261</v>
      </c>
      <c r="J16" s="97" t="s">
        <v>11</v>
      </c>
      <c r="K16" s="835">
        <v>0</v>
      </c>
      <c r="L16" s="308">
        <f t="shared" si="0"/>
        <v>0</v>
      </c>
      <c r="N16" s="759"/>
      <c r="O16" s="759"/>
      <c r="P16" s="760"/>
    </row>
    <row r="17" spans="1:16" ht="35.1" customHeight="1" x14ac:dyDescent="0.2">
      <c r="A17" s="332" t="s">
        <v>402</v>
      </c>
      <c r="B17" s="333" t="s">
        <v>5</v>
      </c>
      <c r="C17" s="333" t="s">
        <v>403</v>
      </c>
      <c r="D17" s="333" t="s">
        <v>404</v>
      </c>
      <c r="E17" s="334">
        <v>0.06</v>
      </c>
      <c r="F17" s="456" t="s">
        <v>413</v>
      </c>
      <c r="G17" s="431"/>
      <c r="H17" s="334"/>
      <c r="I17" s="461">
        <v>75</v>
      </c>
      <c r="J17" s="443" t="s">
        <v>11</v>
      </c>
      <c r="K17" s="831">
        <v>0</v>
      </c>
      <c r="L17" s="239">
        <f t="shared" si="0"/>
        <v>0</v>
      </c>
      <c r="N17" s="759"/>
      <c r="O17" s="759"/>
      <c r="P17" s="760"/>
    </row>
    <row r="18" spans="1:16" ht="35.1" customHeight="1" x14ac:dyDescent="0.2">
      <c r="A18" s="332"/>
      <c r="B18" s="333"/>
      <c r="C18" s="333"/>
      <c r="D18" s="333"/>
      <c r="E18" s="334"/>
      <c r="F18" s="468" t="s">
        <v>406</v>
      </c>
      <c r="G18" s="737"/>
      <c r="H18" s="693"/>
      <c r="I18" s="778"/>
      <c r="J18" s="443"/>
      <c r="K18" s="328"/>
      <c r="L18" s="328"/>
      <c r="N18" s="759"/>
      <c r="O18" s="759"/>
      <c r="P18" s="760"/>
    </row>
    <row r="19" spans="1:16" ht="35.1" customHeight="1" x14ac:dyDescent="0.2">
      <c r="A19" s="293" t="s">
        <v>405</v>
      </c>
      <c r="B19" s="325" t="s">
        <v>5</v>
      </c>
      <c r="C19" s="325" t="s">
        <v>294</v>
      </c>
      <c r="D19" s="325" t="s">
        <v>407</v>
      </c>
      <c r="E19" s="797">
        <v>1.7999999999999999E-2</v>
      </c>
      <c r="F19" s="779" t="s">
        <v>433</v>
      </c>
      <c r="G19" s="798"/>
      <c r="H19" s="799"/>
      <c r="I19" s="778">
        <v>55</v>
      </c>
      <c r="J19" s="327" t="s">
        <v>11</v>
      </c>
      <c r="K19" s="835">
        <v>0</v>
      </c>
      <c r="L19" s="308">
        <f t="shared" si="0"/>
        <v>0</v>
      </c>
      <c r="N19" s="759"/>
      <c r="O19" s="759"/>
      <c r="P19" s="760"/>
    </row>
    <row r="20" spans="1:16" ht="35.1" customHeight="1" thickBot="1" x14ac:dyDescent="0.25">
      <c r="A20" s="293" t="s">
        <v>188</v>
      </c>
      <c r="B20" s="325" t="s">
        <v>5</v>
      </c>
      <c r="C20" s="325" t="s">
        <v>410</v>
      </c>
      <c r="D20" s="325" t="s">
        <v>411</v>
      </c>
      <c r="E20" s="326">
        <v>0.43</v>
      </c>
      <c r="F20" s="779" t="s">
        <v>433</v>
      </c>
      <c r="G20" s="798"/>
      <c r="H20" s="799"/>
      <c r="I20" s="236">
        <v>45</v>
      </c>
      <c r="J20" s="237" t="s">
        <v>11</v>
      </c>
      <c r="K20" s="833">
        <v>0</v>
      </c>
      <c r="L20" s="804">
        <f t="shared" si="0"/>
        <v>0</v>
      </c>
      <c r="N20" s="759"/>
      <c r="O20" s="759"/>
      <c r="P20" s="760"/>
    </row>
    <row r="21" spans="1:16" ht="30" customHeight="1" thickBot="1" x14ac:dyDescent="0.25">
      <c r="A21" s="791"/>
      <c r="B21" s="792"/>
      <c r="C21" s="792"/>
      <c r="D21" s="792"/>
      <c r="E21" s="793"/>
      <c r="F21" s="792"/>
      <c r="G21" s="794"/>
      <c r="H21" s="803">
        <f>SUM(H7:H12)</f>
        <v>0</v>
      </c>
      <c r="I21" s="805">
        <f>SUM(I7:I20)</f>
        <v>3032</v>
      </c>
      <c r="J21" s="806" t="s">
        <v>11</v>
      </c>
      <c r="K21" s="807" t="s">
        <v>177</v>
      </c>
      <c r="L21" s="808">
        <f>SUM(L7:L20)</f>
        <v>0</v>
      </c>
      <c r="N21" s="760"/>
      <c r="O21" s="760"/>
      <c r="P21" s="760"/>
    </row>
    <row r="22" spans="1:16" ht="30" customHeight="1" thickBot="1" x14ac:dyDescent="0.3">
      <c r="A22" s="321" t="s">
        <v>106</v>
      </c>
      <c r="B22" s="322" t="s">
        <v>187</v>
      </c>
      <c r="C22" s="323"/>
      <c r="D22" s="323"/>
      <c r="E22" s="22"/>
      <c r="F22" s="86"/>
      <c r="G22" s="253"/>
      <c r="H22" s="253"/>
      <c r="I22" s="80"/>
      <c r="J22" s="10"/>
      <c r="K22" s="80"/>
      <c r="L22" s="80"/>
      <c r="N22" s="760"/>
      <c r="O22" s="760"/>
      <c r="P22" s="760"/>
    </row>
    <row r="23" spans="1:16" ht="30" customHeight="1" thickBot="1" x14ac:dyDescent="0.4">
      <c r="A23" s="28"/>
      <c r="B23" s="21"/>
      <c r="C23" s="21"/>
      <c r="D23" s="784"/>
      <c r="E23" s="784"/>
      <c r="F23" s="131" t="s">
        <v>47</v>
      </c>
      <c r="G23" s="617"/>
      <c r="H23" s="617"/>
      <c r="I23" s="770" t="s">
        <v>16</v>
      </c>
      <c r="J23" s="770" t="s">
        <v>396</v>
      </c>
      <c r="K23" s="770" t="s">
        <v>3</v>
      </c>
      <c r="L23" s="770" t="s">
        <v>4</v>
      </c>
      <c r="N23" s="760"/>
      <c r="O23" s="760"/>
      <c r="P23" s="760"/>
    </row>
    <row r="24" spans="1:16" ht="30" customHeight="1" thickTop="1" x14ac:dyDescent="0.25">
      <c r="A24" s="28"/>
      <c r="B24" s="890" t="s">
        <v>48</v>
      </c>
      <c r="C24" s="891"/>
      <c r="D24" s="892"/>
      <c r="E24" s="784"/>
      <c r="F24" s="134" t="s">
        <v>61</v>
      </c>
      <c r="G24" s="618"/>
      <c r="H24" s="618"/>
      <c r="I24" s="768">
        <v>3500</v>
      </c>
      <c r="J24" s="147" t="s">
        <v>9</v>
      </c>
      <c r="K24" s="830">
        <v>0</v>
      </c>
      <c r="L24" s="769">
        <f t="shared" ref="L24:L29" si="1">+K24*I24</f>
        <v>0</v>
      </c>
      <c r="N24" s="760"/>
      <c r="O24" s="760"/>
      <c r="P24" s="760"/>
    </row>
    <row r="25" spans="1:16" ht="30" customHeight="1" thickBot="1" x14ac:dyDescent="0.3">
      <c r="A25" s="28"/>
      <c r="B25" s="893" t="s">
        <v>49</v>
      </c>
      <c r="C25" s="894"/>
      <c r="D25" s="895"/>
      <c r="E25" s="784"/>
      <c r="F25" s="134" t="s">
        <v>62</v>
      </c>
      <c r="G25" s="618"/>
      <c r="H25" s="618"/>
      <c r="I25" s="139">
        <v>7500</v>
      </c>
      <c r="J25" s="91" t="s">
        <v>9</v>
      </c>
      <c r="K25" s="831">
        <v>0</v>
      </c>
      <c r="L25" s="272">
        <f t="shared" si="1"/>
        <v>0</v>
      </c>
      <c r="N25" s="760"/>
      <c r="O25" s="760"/>
      <c r="P25" s="760"/>
    </row>
    <row r="26" spans="1:16" ht="30" customHeight="1" thickTop="1" thickBot="1" x14ac:dyDescent="0.3">
      <c r="A26" s="28"/>
      <c r="B26" s="844"/>
      <c r="C26" s="845"/>
      <c r="D26" s="79"/>
      <c r="E26" s="784"/>
      <c r="F26" s="134" t="s">
        <v>10</v>
      </c>
      <c r="G26" s="618"/>
      <c r="H26" s="618"/>
      <c r="I26" s="139">
        <v>25</v>
      </c>
      <c r="J26" s="91" t="s">
        <v>11</v>
      </c>
      <c r="K26" s="831">
        <v>0</v>
      </c>
      <c r="L26" s="272">
        <f t="shared" si="1"/>
        <v>0</v>
      </c>
      <c r="N26" s="760"/>
      <c r="O26" s="760"/>
      <c r="P26" s="760"/>
    </row>
    <row r="27" spans="1:16" ht="30" customHeight="1" thickBot="1" x14ac:dyDescent="0.4">
      <c r="A27" s="28"/>
      <c r="B27" s="75"/>
      <c r="C27" s="75"/>
      <c r="D27" s="137" t="s">
        <v>76</v>
      </c>
      <c r="E27" s="87"/>
      <c r="F27" s="136" t="s">
        <v>12</v>
      </c>
      <c r="G27" s="618"/>
      <c r="H27" s="618"/>
      <c r="I27" s="139">
        <v>75</v>
      </c>
      <c r="J27" s="91" t="s">
        <v>11</v>
      </c>
      <c r="K27" s="831">
        <v>0</v>
      </c>
      <c r="L27" s="272">
        <f t="shared" si="1"/>
        <v>0</v>
      </c>
      <c r="N27" s="760"/>
      <c r="O27" s="760"/>
      <c r="P27" s="760"/>
    </row>
    <row r="28" spans="1:16" ht="30" customHeight="1" x14ac:dyDescent="0.2">
      <c r="F28" s="134" t="s">
        <v>13</v>
      </c>
      <c r="G28" s="618"/>
      <c r="H28" s="618"/>
      <c r="I28" s="139">
        <v>150</v>
      </c>
      <c r="J28" s="91" t="s">
        <v>11</v>
      </c>
      <c r="K28" s="831">
        <v>0</v>
      </c>
      <c r="L28" s="272">
        <f t="shared" si="1"/>
        <v>0</v>
      </c>
      <c r="N28" s="760"/>
      <c r="O28" s="760"/>
      <c r="P28" s="760"/>
    </row>
    <row r="29" spans="1:16" ht="30" customHeight="1" thickBot="1" x14ac:dyDescent="0.3">
      <c r="A29" s="858" t="s">
        <v>409</v>
      </c>
      <c r="B29" s="859"/>
      <c r="C29" s="859"/>
      <c r="D29" s="859"/>
      <c r="E29" s="859"/>
      <c r="F29" s="135" t="s">
        <v>19</v>
      </c>
      <c r="G29" s="619"/>
      <c r="H29" s="619"/>
      <c r="I29" s="140">
        <v>250</v>
      </c>
      <c r="J29" s="142" t="s">
        <v>11</v>
      </c>
      <c r="K29" s="832">
        <v>0</v>
      </c>
      <c r="L29" s="273">
        <f t="shared" si="1"/>
        <v>0</v>
      </c>
      <c r="N29" s="760"/>
      <c r="O29" s="760"/>
      <c r="P29" s="760"/>
    </row>
    <row r="30" spans="1:16" ht="30" customHeight="1" thickBot="1" x14ac:dyDescent="0.3">
      <c r="A30" s="856" t="s">
        <v>408</v>
      </c>
      <c r="B30" s="855"/>
      <c r="C30" s="855"/>
      <c r="D30" s="855"/>
      <c r="E30" s="855"/>
      <c r="F30" s="86"/>
      <c r="G30" s="253"/>
      <c r="H30" s="253"/>
      <c r="I30" s="225"/>
      <c r="J30" s="226"/>
      <c r="K30" s="258" t="s">
        <v>177</v>
      </c>
      <c r="L30" s="258">
        <f>SUM(L24:L29)</f>
        <v>0</v>
      </c>
      <c r="N30" s="760"/>
      <c r="O30" s="760"/>
      <c r="P30" s="760"/>
    </row>
    <row r="31" spans="1:16" ht="9.9499999999999993" customHeight="1" x14ac:dyDescent="0.25">
      <c r="A31" s="81"/>
      <c r="B31" s="82"/>
      <c r="C31" s="82"/>
      <c r="F31" s="21"/>
      <c r="G31" s="28"/>
      <c r="H31" s="28"/>
      <c r="I31" s="783"/>
      <c r="J31" s="783"/>
      <c r="K31" s="783"/>
      <c r="L31" s="80"/>
      <c r="N31" s="760"/>
      <c r="O31" s="760"/>
      <c r="P31" s="760"/>
    </row>
    <row r="32" spans="1:16" ht="9.9499999999999993" customHeight="1" x14ac:dyDescent="0.25">
      <c r="A32" s="34"/>
      <c r="B32" s="44"/>
      <c r="C32" s="44"/>
      <c r="D32" s="45"/>
      <c r="E32" s="46"/>
      <c r="F32" s="46"/>
      <c r="G32" s="620"/>
      <c r="H32" s="620"/>
      <c r="I32" s="46"/>
      <c r="J32" s="46"/>
      <c r="K32" s="47"/>
      <c r="L32" s="76"/>
      <c r="N32" s="760"/>
      <c r="O32" s="760"/>
      <c r="P32" s="760"/>
    </row>
    <row r="33" spans="1:16" ht="35.1" customHeight="1" x14ac:dyDescent="0.5">
      <c r="A33" s="785" t="s">
        <v>434</v>
      </c>
      <c r="B33" s="82"/>
      <c r="C33" s="82"/>
      <c r="F33" s="790"/>
      <c r="G33" s="790"/>
      <c r="H33" s="790"/>
      <c r="I33" s="783"/>
      <c r="J33" s="783"/>
      <c r="K33" s="783"/>
      <c r="L33" s="80"/>
      <c r="N33" s="760"/>
      <c r="O33" s="760"/>
      <c r="P33" s="760"/>
    </row>
    <row r="34" spans="1:16" ht="9.9499999999999993" customHeight="1" x14ac:dyDescent="0.25">
      <c r="A34" s="34"/>
      <c r="B34" s="44"/>
      <c r="C34" s="44"/>
      <c r="D34" s="45"/>
      <c r="E34" s="46"/>
      <c r="F34" s="46"/>
      <c r="G34" s="620"/>
      <c r="H34" s="620"/>
      <c r="I34" s="46"/>
      <c r="J34" s="46"/>
      <c r="K34" s="47"/>
      <c r="L34" s="76"/>
      <c r="N34" s="760"/>
      <c r="O34" s="760"/>
      <c r="P34" s="760"/>
    </row>
    <row r="35" spans="1:16" ht="35.1" customHeight="1" thickBot="1" x14ac:dyDescent="0.45">
      <c r="A35" s="852" t="s">
        <v>43</v>
      </c>
      <c r="B35" s="852"/>
      <c r="C35" s="852"/>
      <c r="D35" s="853"/>
      <c r="E35" s="853"/>
      <c r="F35" s="853"/>
      <c r="G35" s="853"/>
      <c r="H35" s="853"/>
      <c r="I35" s="853"/>
      <c r="J35" s="853"/>
      <c r="K35" s="55"/>
      <c r="L35" s="55"/>
      <c r="N35" s="760"/>
      <c r="O35" s="760"/>
      <c r="P35" s="760"/>
    </row>
    <row r="36" spans="1:16" ht="24.95" customHeight="1" thickBot="1" x14ac:dyDescent="0.45">
      <c r="A36" s="38"/>
      <c r="B36" s="38"/>
      <c r="C36" s="38"/>
      <c r="E36" s="37" t="s">
        <v>24</v>
      </c>
      <c r="G36" s="616"/>
      <c r="H36" s="407" t="s">
        <v>236</v>
      </c>
      <c r="I36" s="407" t="s">
        <v>235</v>
      </c>
      <c r="J36" s="616"/>
      <c r="K36" s="863" t="s">
        <v>474</v>
      </c>
      <c r="L36" s="865"/>
      <c r="N36" s="760"/>
      <c r="O36" s="760"/>
      <c r="P36" s="760"/>
    </row>
    <row r="37" spans="1:16" ht="24.95" customHeight="1" thickBot="1" x14ac:dyDescent="0.4">
      <c r="A37" s="37" t="s">
        <v>7</v>
      </c>
      <c r="B37" s="75" t="s">
        <v>0</v>
      </c>
      <c r="C37" s="75" t="s">
        <v>1</v>
      </c>
      <c r="D37" s="75" t="s">
        <v>6</v>
      </c>
      <c r="E37" s="37" t="s">
        <v>391</v>
      </c>
      <c r="F37" s="75" t="s">
        <v>2</v>
      </c>
      <c r="G37" s="418" t="s">
        <v>238</v>
      </c>
      <c r="H37" s="418" t="s">
        <v>237</v>
      </c>
      <c r="I37" s="408" t="s">
        <v>16</v>
      </c>
      <c r="J37" s="408" t="s">
        <v>8</v>
      </c>
      <c r="K37" s="771" t="s">
        <v>3</v>
      </c>
      <c r="L37" s="280" t="s">
        <v>4</v>
      </c>
      <c r="N37" s="760"/>
      <c r="O37" s="760"/>
      <c r="P37" s="760"/>
    </row>
    <row r="38" spans="1:16" s="784" customFormat="1" ht="35.1" customHeight="1" x14ac:dyDescent="0.25">
      <c r="A38" s="332" t="s">
        <v>219</v>
      </c>
      <c r="B38" s="333" t="s">
        <v>32</v>
      </c>
      <c r="C38" s="333" t="s">
        <v>400</v>
      </c>
      <c r="D38" s="333" t="s">
        <v>435</v>
      </c>
      <c r="E38" s="334">
        <v>0.35</v>
      </c>
      <c r="F38" s="333" t="s">
        <v>436</v>
      </c>
      <c r="G38" s="765"/>
      <c r="H38" s="765"/>
      <c r="I38" s="461">
        <v>550</v>
      </c>
      <c r="J38" s="91" t="s">
        <v>11</v>
      </c>
      <c r="K38" s="831">
        <v>0</v>
      </c>
      <c r="L38" s="239">
        <f>+K38*I38</f>
        <v>0</v>
      </c>
      <c r="M38" s="208"/>
      <c r="N38" s="762"/>
      <c r="O38" s="762"/>
      <c r="P38" s="762"/>
    </row>
    <row r="39" spans="1:16" s="784" customFormat="1" ht="35.1" customHeight="1" x14ac:dyDescent="0.25">
      <c r="A39" s="332"/>
      <c r="B39" s="333"/>
      <c r="C39" s="333"/>
      <c r="D39" s="333"/>
      <c r="E39" s="334"/>
      <c r="F39" s="107" t="s">
        <v>437</v>
      </c>
      <c r="G39" s="809"/>
      <c r="H39" s="809"/>
      <c r="I39" s="461"/>
      <c r="J39" s="91"/>
      <c r="K39" s="239"/>
      <c r="L39" s="239"/>
      <c r="M39" s="208"/>
      <c r="N39" s="762"/>
      <c r="O39" s="762"/>
      <c r="P39" s="762"/>
    </row>
    <row r="40" spans="1:16" s="784" customFormat="1" ht="35.1" customHeight="1" x14ac:dyDescent="0.25">
      <c r="A40" s="332" t="s">
        <v>469</v>
      </c>
      <c r="B40" s="333" t="s">
        <v>394</v>
      </c>
      <c r="C40" s="333" t="s">
        <v>438</v>
      </c>
      <c r="D40" s="333" t="s">
        <v>439</v>
      </c>
      <c r="E40" s="334">
        <v>0.7</v>
      </c>
      <c r="F40" s="333" t="s">
        <v>440</v>
      </c>
      <c r="G40" s="782"/>
      <c r="H40" s="782"/>
      <c r="I40" s="461">
        <v>1360</v>
      </c>
      <c r="J40" s="91" t="s">
        <v>11</v>
      </c>
      <c r="K40" s="831">
        <v>0</v>
      </c>
      <c r="L40" s="239">
        <f>+K40*I40</f>
        <v>0</v>
      </c>
      <c r="M40" s="208"/>
      <c r="N40" s="762"/>
      <c r="O40" s="762"/>
      <c r="P40" s="762"/>
    </row>
    <row r="41" spans="1:16" s="784" customFormat="1" ht="35.1" customHeight="1" x14ac:dyDescent="0.25">
      <c r="A41" s="332"/>
      <c r="B41" s="333"/>
      <c r="C41" s="333"/>
      <c r="D41" s="333"/>
      <c r="E41" s="334"/>
      <c r="F41" s="468" t="s">
        <v>468</v>
      </c>
      <c r="G41" s="782"/>
      <c r="H41" s="782"/>
      <c r="I41" s="461"/>
      <c r="J41" s="91"/>
      <c r="K41" s="239"/>
      <c r="L41" s="239"/>
      <c r="M41" s="208"/>
      <c r="N41" s="762"/>
      <c r="O41" s="762"/>
      <c r="P41" s="762"/>
    </row>
    <row r="42" spans="1:16" s="784" customFormat="1" ht="35.1" customHeight="1" x14ac:dyDescent="0.25">
      <c r="A42" s="332" t="s">
        <v>30</v>
      </c>
      <c r="B42" s="333" t="s">
        <v>33</v>
      </c>
      <c r="C42" s="333"/>
      <c r="D42" s="333"/>
      <c r="E42" s="334"/>
      <c r="F42" s="333"/>
      <c r="G42" s="795"/>
      <c r="H42" s="795"/>
      <c r="I42" s="461"/>
      <c r="J42" s="91"/>
      <c r="K42" s="239"/>
      <c r="L42" s="239"/>
      <c r="M42" s="208"/>
      <c r="N42" s="762"/>
      <c r="O42" s="762"/>
      <c r="P42" s="762"/>
    </row>
    <row r="43" spans="1:16" s="784" customFormat="1" ht="35.1" customHeight="1" thickBot="1" x14ac:dyDescent="0.3">
      <c r="A43" s="332" t="s">
        <v>30</v>
      </c>
      <c r="B43" s="333" t="s">
        <v>393</v>
      </c>
      <c r="C43" s="333"/>
      <c r="D43" s="333"/>
      <c r="E43" s="334"/>
      <c r="F43" s="333"/>
      <c r="G43" s="411"/>
      <c r="H43" s="90"/>
      <c r="I43" s="461"/>
      <c r="J43" s="91"/>
      <c r="K43" s="239"/>
      <c r="L43" s="239"/>
      <c r="M43" s="208"/>
      <c r="N43" s="762"/>
      <c r="O43" s="762"/>
      <c r="P43" s="762"/>
    </row>
    <row r="44" spans="1:16" ht="30" customHeight="1" thickBot="1" x14ac:dyDescent="0.3">
      <c r="A44" s="28"/>
      <c r="B44" s="21"/>
      <c r="C44" s="21"/>
      <c r="D44" s="21"/>
      <c r="E44" s="22"/>
      <c r="F44" s="82"/>
      <c r="G44" s="267"/>
      <c r="H44" s="638">
        <f>SUM(H38:H43)</f>
        <v>0</v>
      </c>
      <c r="I44" s="261">
        <f>SUM(I38:I43)</f>
        <v>1910</v>
      </c>
      <c r="J44" s="262" t="s">
        <v>11</v>
      </c>
      <c r="K44" s="310" t="s">
        <v>177</v>
      </c>
      <c r="L44" s="752">
        <f>SUM(L38:L43)</f>
        <v>0</v>
      </c>
      <c r="N44" s="760"/>
      <c r="O44" s="760"/>
      <c r="P44" s="760"/>
    </row>
    <row r="45" spans="1:16" ht="30" customHeight="1" thickBot="1" x14ac:dyDescent="0.3">
      <c r="A45" s="321" t="s">
        <v>106</v>
      </c>
      <c r="B45" s="322" t="s">
        <v>187</v>
      </c>
      <c r="C45" s="323"/>
      <c r="D45" s="323"/>
      <c r="E45" s="22"/>
      <c r="F45" s="82"/>
      <c r="G45" s="81"/>
      <c r="H45" s="81"/>
      <c r="I45" s="60"/>
      <c r="J45" s="80"/>
      <c r="K45" s="80"/>
      <c r="L45" s="80"/>
      <c r="N45" s="760"/>
      <c r="O45" s="760"/>
      <c r="P45" s="760"/>
    </row>
    <row r="46" spans="1:16" ht="30" customHeight="1" thickBot="1" x14ac:dyDescent="0.4">
      <c r="A46" s="28"/>
      <c r="B46" s="21"/>
      <c r="C46" s="21"/>
      <c r="D46" s="784"/>
      <c r="E46" s="784"/>
      <c r="F46" s="131" t="s">
        <v>47</v>
      </c>
      <c r="G46" s="617"/>
      <c r="H46" s="617"/>
      <c r="I46" s="770" t="s">
        <v>16</v>
      </c>
      <c r="J46" s="770" t="s">
        <v>396</v>
      </c>
      <c r="K46" s="770" t="s">
        <v>3</v>
      </c>
      <c r="L46" s="770" t="s">
        <v>4</v>
      </c>
      <c r="N46" s="760"/>
      <c r="O46" s="760"/>
      <c r="P46" s="760"/>
    </row>
    <row r="47" spans="1:16" ht="30" customHeight="1" thickTop="1" x14ac:dyDescent="0.25">
      <c r="A47" s="28"/>
      <c r="B47" s="890" t="s">
        <v>48</v>
      </c>
      <c r="C47" s="891"/>
      <c r="D47" s="892"/>
      <c r="E47" s="784"/>
      <c r="F47" s="134" t="s">
        <v>61</v>
      </c>
      <c r="G47" s="618"/>
      <c r="H47" s="618"/>
      <c r="I47" s="139">
        <v>3500</v>
      </c>
      <c r="J47" s="91" t="s">
        <v>9</v>
      </c>
      <c r="K47" s="830">
        <v>0</v>
      </c>
      <c r="L47" s="769">
        <f t="shared" ref="L47:L52" si="2">+K47*I47</f>
        <v>0</v>
      </c>
      <c r="N47" s="760"/>
      <c r="O47" s="760"/>
      <c r="P47" s="760"/>
    </row>
    <row r="48" spans="1:16" ht="30" customHeight="1" thickBot="1" x14ac:dyDescent="0.3">
      <c r="A48" s="28"/>
      <c r="B48" s="893" t="s">
        <v>49</v>
      </c>
      <c r="C48" s="894"/>
      <c r="D48" s="895"/>
      <c r="E48" s="784"/>
      <c r="F48" s="134" t="s">
        <v>62</v>
      </c>
      <c r="G48" s="618"/>
      <c r="H48" s="618"/>
      <c r="I48" s="139">
        <v>7500</v>
      </c>
      <c r="J48" s="91" t="s">
        <v>9</v>
      </c>
      <c r="K48" s="831">
        <v>0</v>
      </c>
      <c r="L48" s="272">
        <f t="shared" si="2"/>
        <v>0</v>
      </c>
      <c r="N48" s="760"/>
      <c r="O48" s="760"/>
      <c r="P48" s="760"/>
    </row>
    <row r="49" spans="1:16" ht="30" customHeight="1" thickTop="1" thickBot="1" x14ac:dyDescent="0.3">
      <c r="A49" s="28"/>
      <c r="B49" s="844"/>
      <c r="C49" s="845"/>
      <c r="D49" s="79"/>
      <c r="E49" s="784"/>
      <c r="F49" s="134" t="s">
        <v>10</v>
      </c>
      <c r="G49" s="618"/>
      <c r="H49" s="618"/>
      <c r="I49" s="139">
        <v>25</v>
      </c>
      <c r="J49" s="91" t="s">
        <v>11</v>
      </c>
      <c r="K49" s="831">
        <v>0</v>
      </c>
      <c r="L49" s="272">
        <f t="shared" si="2"/>
        <v>0</v>
      </c>
      <c r="N49" s="760"/>
      <c r="O49" s="760"/>
      <c r="P49" s="760"/>
    </row>
    <row r="50" spans="1:16" ht="30" customHeight="1" thickBot="1" x14ac:dyDescent="0.4">
      <c r="A50" s="28"/>
      <c r="B50" s="75"/>
      <c r="C50" s="75"/>
      <c r="D50" s="137" t="s">
        <v>76</v>
      </c>
      <c r="E50" s="87"/>
      <c r="F50" s="136" t="s">
        <v>12</v>
      </c>
      <c r="G50" s="618"/>
      <c r="H50" s="618"/>
      <c r="I50" s="139">
        <v>75</v>
      </c>
      <c r="J50" s="91" t="s">
        <v>11</v>
      </c>
      <c r="K50" s="831">
        <v>0</v>
      </c>
      <c r="L50" s="272">
        <f t="shared" si="2"/>
        <v>0</v>
      </c>
      <c r="N50" s="760"/>
      <c r="O50" s="760"/>
      <c r="P50" s="760"/>
    </row>
    <row r="51" spans="1:16" ht="30" customHeight="1" x14ac:dyDescent="0.25">
      <c r="A51" s="28"/>
      <c r="B51" s="21"/>
      <c r="C51" s="21"/>
      <c r="D51" s="78"/>
      <c r="E51" s="784"/>
      <c r="F51" s="134" t="s">
        <v>13</v>
      </c>
      <c r="G51" s="618"/>
      <c r="H51" s="618"/>
      <c r="I51" s="139">
        <v>150</v>
      </c>
      <c r="J51" s="91" t="s">
        <v>11</v>
      </c>
      <c r="K51" s="831">
        <v>0</v>
      </c>
      <c r="L51" s="272">
        <f t="shared" si="2"/>
        <v>0</v>
      </c>
      <c r="N51" s="760"/>
      <c r="O51" s="760"/>
      <c r="P51" s="760"/>
    </row>
    <row r="52" spans="1:16" ht="30" customHeight="1" thickBot="1" x14ac:dyDescent="0.3">
      <c r="A52" s="858" t="s">
        <v>409</v>
      </c>
      <c r="B52" s="859"/>
      <c r="C52" s="859"/>
      <c r="D52" s="859"/>
      <c r="E52" s="859"/>
      <c r="F52" s="135" t="s">
        <v>19</v>
      </c>
      <c r="G52" s="619"/>
      <c r="H52" s="619"/>
      <c r="I52" s="140">
        <v>250</v>
      </c>
      <c r="J52" s="142" t="s">
        <v>11</v>
      </c>
      <c r="K52" s="832">
        <v>0</v>
      </c>
      <c r="L52" s="273">
        <f t="shared" si="2"/>
        <v>0</v>
      </c>
      <c r="N52" s="760"/>
      <c r="O52" s="760"/>
      <c r="P52" s="760"/>
    </row>
    <row r="53" spans="1:16" ht="30" customHeight="1" thickBot="1" x14ac:dyDescent="0.3">
      <c r="A53" s="856" t="s">
        <v>408</v>
      </c>
      <c r="B53" s="855"/>
      <c r="C53" s="855"/>
      <c r="D53" s="855"/>
      <c r="E53" s="855"/>
      <c r="F53" s="86"/>
      <c r="G53" s="253"/>
      <c r="H53" s="253"/>
      <c r="I53" s="225"/>
      <c r="J53" s="226"/>
      <c r="K53" s="258" t="s">
        <v>177</v>
      </c>
      <c r="L53" s="258">
        <f>SUM(L47:L52)</f>
        <v>0</v>
      </c>
      <c r="N53" s="760"/>
      <c r="O53" s="760"/>
      <c r="P53" s="760"/>
    </row>
    <row r="54" spans="1:16" ht="9.9499999999999993" customHeight="1" x14ac:dyDescent="0.25">
      <c r="A54" s="81"/>
      <c r="B54" s="82"/>
      <c r="C54" s="82"/>
      <c r="D54" s="82"/>
      <c r="E54" s="83"/>
      <c r="F54" s="82"/>
      <c r="G54" s="81"/>
      <c r="H54" s="81"/>
      <c r="I54" s="60"/>
      <c r="J54" s="80"/>
      <c r="K54" s="80"/>
      <c r="L54" s="80"/>
      <c r="N54" s="760"/>
      <c r="O54" s="760"/>
      <c r="P54" s="760"/>
    </row>
    <row r="55" spans="1:16" ht="9.9499999999999993" customHeight="1" x14ac:dyDescent="0.25">
      <c r="A55" s="34"/>
      <c r="B55" s="44"/>
      <c r="C55" s="44"/>
      <c r="D55" s="44"/>
      <c r="E55" s="56"/>
      <c r="F55" s="44"/>
      <c r="G55" s="34"/>
      <c r="H55" s="34"/>
      <c r="I55" s="57"/>
      <c r="J55" s="47"/>
      <c r="K55" s="47"/>
      <c r="L55" s="44"/>
      <c r="N55" s="760"/>
      <c r="O55" s="760"/>
      <c r="P55" s="760"/>
    </row>
    <row r="56" spans="1:16" ht="35.1" customHeight="1" x14ac:dyDescent="0.5">
      <c r="A56" s="785" t="str">
        <f>+A33</f>
        <v>2022 HMA SURFACING (Continued)</v>
      </c>
      <c r="B56" s="82"/>
      <c r="C56" s="82"/>
      <c r="D56" s="82"/>
      <c r="E56" s="83"/>
      <c r="F56" s="790"/>
      <c r="G56" s="790"/>
      <c r="H56" s="790"/>
      <c r="I56" s="60"/>
      <c r="J56" s="80"/>
      <c r="K56" s="80"/>
      <c r="L56" s="82"/>
      <c r="N56" s="760"/>
      <c r="O56" s="760"/>
      <c r="P56" s="760"/>
    </row>
    <row r="57" spans="1:16" ht="9.9499999999999993" customHeight="1" x14ac:dyDescent="0.5">
      <c r="A57" s="70"/>
      <c r="B57" s="45"/>
      <c r="C57" s="45"/>
      <c r="D57" s="45"/>
      <c r="E57" s="66"/>
      <c r="F57" s="45"/>
      <c r="G57" s="68"/>
      <c r="H57" s="68"/>
      <c r="I57" s="67"/>
      <c r="J57" s="46"/>
      <c r="K57" s="46"/>
      <c r="L57" s="45"/>
      <c r="N57" s="760"/>
      <c r="O57" s="760"/>
      <c r="P57" s="760"/>
    </row>
    <row r="58" spans="1:16" ht="35.1" customHeight="1" thickBot="1" x14ac:dyDescent="0.45">
      <c r="A58" s="852" t="s">
        <v>44</v>
      </c>
      <c r="B58" s="852"/>
      <c r="C58" s="852"/>
      <c r="D58" s="853"/>
      <c r="E58" s="853"/>
      <c r="F58" s="853"/>
      <c r="G58" s="853"/>
      <c r="H58" s="853"/>
      <c r="I58" s="853"/>
      <c r="J58" s="853"/>
      <c r="K58" s="55"/>
      <c r="L58" s="55"/>
      <c r="N58" s="760"/>
      <c r="O58" s="760"/>
      <c r="P58" s="760"/>
    </row>
    <row r="59" spans="1:16" ht="35.1" customHeight="1" thickBot="1" x14ac:dyDescent="0.45">
      <c r="A59" s="38"/>
      <c r="B59" s="38"/>
      <c r="C59" s="38"/>
      <c r="E59" s="37" t="s">
        <v>24</v>
      </c>
      <c r="G59" s="616"/>
      <c r="H59" s="407" t="s">
        <v>236</v>
      </c>
      <c r="I59" s="407" t="s">
        <v>235</v>
      </c>
      <c r="J59" s="616"/>
      <c r="K59" s="885" t="str">
        <f>+K5</f>
        <v>CONTRACTOR</v>
      </c>
      <c r="L59" s="886"/>
      <c r="N59" s="760"/>
      <c r="O59" s="760"/>
      <c r="P59" s="760"/>
    </row>
    <row r="60" spans="1:16" ht="24.95" customHeight="1" x14ac:dyDescent="0.35">
      <c r="A60" s="37" t="s">
        <v>7</v>
      </c>
      <c r="B60" s="75" t="s">
        <v>0</v>
      </c>
      <c r="C60" s="75" t="s">
        <v>1</v>
      </c>
      <c r="D60" s="75" t="s">
        <v>6</v>
      </c>
      <c r="E60" s="37" t="s">
        <v>391</v>
      </c>
      <c r="F60" s="75" t="s">
        <v>2</v>
      </c>
      <c r="G60" s="418" t="s">
        <v>238</v>
      </c>
      <c r="H60" s="418" t="s">
        <v>237</v>
      </c>
      <c r="I60" s="418" t="s">
        <v>16</v>
      </c>
      <c r="J60" s="418" t="s">
        <v>8</v>
      </c>
      <c r="K60" s="772" t="s">
        <v>3</v>
      </c>
      <c r="L60" s="540" t="s">
        <v>4</v>
      </c>
      <c r="N60" s="760"/>
      <c r="O60" s="760"/>
      <c r="P60" s="760"/>
    </row>
    <row r="61" spans="1:16" ht="45" customHeight="1" x14ac:dyDescent="0.2">
      <c r="A61" s="332" t="s">
        <v>441</v>
      </c>
      <c r="B61" s="324" t="s">
        <v>125</v>
      </c>
      <c r="C61" s="333" t="s">
        <v>442</v>
      </c>
      <c r="D61" s="333" t="s">
        <v>444</v>
      </c>
      <c r="E61" s="334">
        <v>0.27</v>
      </c>
      <c r="F61" s="333" t="s">
        <v>440</v>
      </c>
      <c r="G61" s="767"/>
      <c r="H61" s="767"/>
      <c r="I61" s="461">
        <v>428</v>
      </c>
      <c r="J61" s="91" t="s">
        <v>11</v>
      </c>
      <c r="K61" s="831">
        <v>0</v>
      </c>
      <c r="L61" s="239">
        <f>+K61*I61</f>
        <v>0</v>
      </c>
      <c r="M61" s="766"/>
      <c r="N61" s="760"/>
      <c r="O61" s="760"/>
      <c r="P61" s="760"/>
    </row>
    <row r="62" spans="1:16" ht="35.1" customHeight="1" x14ac:dyDescent="0.2">
      <c r="A62" s="332"/>
      <c r="B62" s="324"/>
      <c r="C62" s="333"/>
      <c r="D62" s="333"/>
      <c r="E62" s="334"/>
      <c r="F62" s="468" t="s">
        <v>443</v>
      </c>
      <c r="G62" s="767"/>
      <c r="H62" s="767"/>
      <c r="I62" s="461"/>
      <c r="J62" s="91"/>
      <c r="K62" s="239"/>
      <c r="L62" s="239"/>
      <c r="M62" s="766"/>
      <c r="N62" s="760"/>
      <c r="O62" s="760"/>
      <c r="P62" s="760"/>
    </row>
    <row r="63" spans="1:16" ht="35.1" customHeight="1" x14ac:dyDescent="0.2">
      <c r="A63" s="324">
        <v>121</v>
      </c>
      <c r="B63" s="324" t="s">
        <v>20</v>
      </c>
      <c r="C63" s="324" t="s">
        <v>445</v>
      </c>
      <c r="D63" s="333" t="s">
        <v>447</v>
      </c>
      <c r="E63" s="334">
        <v>7.0000000000000007E-2</v>
      </c>
      <c r="F63" s="333" t="s">
        <v>448</v>
      </c>
      <c r="G63" s="431"/>
      <c r="H63" s="324"/>
      <c r="I63" s="443">
        <v>175</v>
      </c>
      <c r="J63" s="443" t="s">
        <v>11</v>
      </c>
      <c r="K63" s="831">
        <v>0</v>
      </c>
      <c r="L63" s="239">
        <f>+K63*I63</f>
        <v>0</v>
      </c>
      <c r="N63" s="760"/>
      <c r="O63" s="760"/>
      <c r="P63" s="760"/>
    </row>
    <row r="64" spans="1:16" ht="35.1" customHeight="1" x14ac:dyDescent="0.2">
      <c r="A64" s="786"/>
      <c r="D64" s="333"/>
      <c r="E64" s="334"/>
      <c r="F64" s="468" t="s">
        <v>449</v>
      </c>
      <c r="G64" s="737"/>
      <c r="H64" s="758"/>
      <c r="I64" s="335"/>
      <c r="J64" s="335"/>
      <c r="K64" s="337"/>
      <c r="L64" s="337"/>
      <c r="N64" s="760"/>
      <c r="O64" s="760"/>
      <c r="P64" s="760"/>
    </row>
    <row r="65" spans="1:16" ht="35.1" customHeight="1" x14ac:dyDescent="0.2">
      <c r="A65" s="324">
        <v>122</v>
      </c>
      <c r="B65" s="324" t="s">
        <v>20</v>
      </c>
      <c r="C65" s="324" t="s">
        <v>446</v>
      </c>
      <c r="D65" s="333" t="s">
        <v>450</v>
      </c>
      <c r="E65" s="334">
        <v>0.08</v>
      </c>
      <c r="F65" s="333" t="s">
        <v>448</v>
      </c>
      <c r="G65" s="431"/>
      <c r="H65" s="324"/>
      <c r="I65" s="443">
        <v>180</v>
      </c>
      <c r="J65" s="443" t="s">
        <v>11</v>
      </c>
      <c r="K65" s="831">
        <v>0</v>
      </c>
      <c r="L65" s="239">
        <f>+K65*I65</f>
        <v>0</v>
      </c>
      <c r="N65" s="760"/>
      <c r="O65" s="760"/>
      <c r="P65" s="760"/>
    </row>
    <row r="66" spans="1:16" ht="35.1" customHeight="1" x14ac:dyDescent="0.2">
      <c r="A66" s="786"/>
      <c r="D66" s="333"/>
      <c r="E66" s="334"/>
      <c r="F66" s="468" t="s">
        <v>449</v>
      </c>
      <c r="G66" s="737"/>
      <c r="H66" s="758"/>
      <c r="I66" s="335"/>
      <c r="J66" s="335"/>
      <c r="K66" s="337"/>
      <c r="L66" s="337"/>
      <c r="N66" s="760"/>
      <c r="O66" s="760"/>
      <c r="P66" s="760"/>
    </row>
    <row r="67" spans="1:16" ht="35.1" customHeight="1" x14ac:dyDescent="0.2">
      <c r="A67" s="324">
        <v>123</v>
      </c>
      <c r="B67" s="324" t="s">
        <v>20</v>
      </c>
      <c r="C67" s="324" t="s">
        <v>137</v>
      </c>
      <c r="D67" s="333" t="s">
        <v>451</v>
      </c>
      <c r="E67" s="334">
        <v>0.09</v>
      </c>
      <c r="F67" s="333" t="s">
        <v>448</v>
      </c>
      <c r="G67" s="431"/>
      <c r="H67" s="324"/>
      <c r="I67" s="443">
        <v>195</v>
      </c>
      <c r="J67" s="443" t="s">
        <v>11</v>
      </c>
      <c r="K67" s="831">
        <v>0</v>
      </c>
      <c r="L67" s="239">
        <f>+K67*I67</f>
        <v>0</v>
      </c>
      <c r="N67" s="760"/>
      <c r="O67" s="760"/>
      <c r="P67" s="760"/>
    </row>
    <row r="68" spans="1:16" ht="35.1" customHeight="1" x14ac:dyDescent="0.2">
      <c r="A68" s="324"/>
      <c r="B68" s="324"/>
      <c r="C68" s="324"/>
      <c r="D68" s="333"/>
      <c r="E68" s="334"/>
      <c r="F68" s="468" t="s">
        <v>449</v>
      </c>
      <c r="G68" s="737"/>
      <c r="H68" s="758"/>
      <c r="I68" s="335"/>
      <c r="J68" s="335"/>
      <c r="K68" s="337"/>
      <c r="L68" s="337"/>
      <c r="N68" s="760"/>
      <c r="O68" s="760"/>
      <c r="P68" s="760"/>
    </row>
    <row r="69" spans="1:16" ht="35.1" customHeight="1" thickBot="1" x14ac:dyDescent="0.25">
      <c r="A69" s="294">
        <v>152</v>
      </c>
      <c r="B69" s="468" t="s">
        <v>395</v>
      </c>
      <c r="C69" s="468" t="s">
        <v>452</v>
      </c>
      <c r="D69" s="325" t="s">
        <v>453</v>
      </c>
      <c r="E69" s="326">
        <v>0.49</v>
      </c>
      <c r="F69" s="779" t="s">
        <v>454</v>
      </c>
      <c r="G69" s="798"/>
      <c r="H69" s="470"/>
      <c r="I69" s="800">
        <v>97</v>
      </c>
      <c r="J69" s="800" t="s">
        <v>11</v>
      </c>
      <c r="K69" s="833">
        <v>0</v>
      </c>
      <c r="L69" s="239">
        <f>+K69*I69</f>
        <v>0</v>
      </c>
      <c r="N69" s="760"/>
      <c r="O69" s="760"/>
      <c r="P69" s="760"/>
    </row>
    <row r="70" spans="1:16" ht="36" customHeight="1" thickBot="1" x14ac:dyDescent="0.25">
      <c r="A70" s="229"/>
      <c r="B70" s="230"/>
      <c r="C70" s="230"/>
      <c r="D70" s="230"/>
      <c r="E70" s="231"/>
      <c r="F70" s="329"/>
      <c r="G70" s="622"/>
      <c r="H70" s="744">
        <f>SUM(H61:H69)</f>
        <v>0</v>
      </c>
      <c r="I70" s="261">
        <f>SUM(I61:I69)</f>
        <v>1075</v>
      </c>
      <c r="J70" s="262" t="s">
        <v>11</v>
      </c>
      <c r="K70" s="310" t="s">
        <v>177</v>
      </c>
      <c r="L70" s="752">
        <f>SUM(L61:L69)</f>
        <v>0</v>
      </c>
      <c r="N70" s="760"/>
      <c r="O70" s="760"/>
      <c r="P70" s="760"/>
    </row>
    <row r="71" spans="1:16" ht="30" customHeight="1" thickBot="1" x14ac:dyDescent="0.3">
      <c r="A71" s="321" t="s">
        <v>106</v>
      </c>
      <c r="B71" s="322" t="s">
        <v>187</v>
      </c>
      <c r="C71" s="323"/>
      <c r="D71" s="323"/>
      <c r="E71" s="22"/>
      <c r="F71" s="82"/>
      <c r="G71" s="81"/>
      <c r="H71" s="81"/>
      <c r="I71" s="80"/>
      <c r="J71" s="80"/>
      <c r="K71" s="80"/>
      <c r="L71" s="80"/>
      <c r="N71" s="760"/>
      <c r="O71" s="760"/>
      <c r="P71" s="760"/>
    </row>
    <row r="72" spans="1:16" ht="30" customHeight="1" thickBot="1" x14ac:dyDescent="0.4">
      <c r="A72" s="28"/>
      <c r="B72" s="21"/>
      <c r="C72" s="21"/>
      <c r="D72" s="784"/>
      <c r="E72" s="784"/>
      <c r="F72" s="131" t="s">
        <v>47</v>
      </c>
      <c r="G72" s="617"/>
      <c r="H72" s="617"/>
      <c r="I72" s="770" t="s">
        <v>16</v>
      </c>
      <c r="J72" s="770" t="s">
        <v>396</v>
      </c>
      <c r="K72" s="770" t="s">
        <v>3</v>
      </c>
      <c r="L72" s="770" t="s">
        <v>4</v>
      </c>
      <c r="N72" s="760"/>
      <c r="O72" s="760"/>
      <c r="P72" s="760"/>
    </row>
    <row r="73" spans="1:16" ht="30" customHeight="1" thickTop="1" x14ac:dyDescent="0.25">
      <c r="A73" s="28"/>
      <c r="B73" s="890" t="s">
        <v>48</v>
      </c>
      <c r="C73" s="891"/>
      <c r="D73" s="892"/>
      <c r="E73" s="784"/>
      <c r="F73" s="134" t="s">
        <v>61</v>
      </c>
      <c r="G73" s="618"/>
      <c r="H73" s="618"/>
      <c r="I73" s="139">
        <v>3500</v>
      </c>
      <c r="J73" s="91" t="s">
        <v>9</v>
      </c>
      <c r="K73" s="830">
        <v>0</v>
      </c>
      <c r="L73" s="769">
        <f t="shared" ref="L73:L78" si="3">+K73*I73</f>
        <v>0</v>
      </c>
      <c r="N73" s="760"/>
      <c r="O73" s="760"/>
      <c r="P73" s="760"/>
    </row>
    <row r="74" spans="1:16" ht="30" customHeight="1" thickBot="1" x14ac:dyDescent="0.3">
      <c r="A74" s="28"/>
      <c r="B74" s="893" t="s">
        <v>49</v>
      </c>
      <c r="C74" s="894"/>
      <c r="D74" s="895"/>
      <c r="E74" s="784"/>
      <c r="F74" s="134" t="s">
        <v>62</v>
      </c>
      <c r="G74" s="618"/>
      <c r="H74" s="618"/>
      <c r="I74" s="139">
        <v>7500</v>
      </c>
      <c r="J74" s="91" t="s">
        <v>9</v>
      </c>
      <c r="K74" s="831">
        <v>0</v>
      </c>
      <c r="L74" s="272">
        <f t="shared" si="3"/>
        <v>0</v>
      </c>
      <c r="N74" s="760"/>
      <c r="O74" s="760"/>
      <c r="P74" s="760"/>
    </row>
    <row r="75" spans="1:16" ht="30" customHeight="1" thickTop="1" thickBot="1" x14ac:dyDescent="0.3">
      <c r="A75" s="28"/>
      <c r="B75" s="844"/>
      <c r="C75" s="845"/>
      <c r="D75" s="79"/>
      <c r="E75" s="784"/>
      <c r="F75" s="134" t="s">
        <v>10</v>
      </c>
      <c r="G75" s="618"/>
      <c r="H75" s="618"/>
      <c r="I75" s="139">
        <v>25</v>
      </c>
      <c r="J75" s="91" t="s">
        <v>11</v>
      </c>
      <c r="K75" s="831">
        <v>0</v>
      </c>
      <c r="L75" s="272">
        <f t="shared" si="3"/>
        <v>0</v>
      </c>
      <c r="N75" s="760"/>
      <c r="O75" s="760"/>
      <c r="P75" s="760"/>
    </row>
    <row r="76" spans="1:16" ht="30" customHeight="1" thickBot="1" x14ac:dyDescent="0.4">
      <c r="A76" s="28"/>
      <c r="B76" s="75"/>
      <c r="C76" s="75"/>
      <c r="D76" s="137" t="s">
        <v>76</v>
      </c>
      <c r="E76" s="87"/>
      <c r="F76" s="136" t="s">
        <v>12</v>
      </c>
      <c r="G76" s="618"/>
      <c r="H76" s="618"/>
      <c r="I76" s="139">
        <v>75</v>
      </c>
      <c r="J76" s="91" t="s">
        <v>11</v>
      </c>
      <c r="K76" s="831">
        <v>0</v>
      </c>
      <c r="L76" s="272">
        <f t="shared" si="3"/>
        <v>0</v>
      </c>
      <c r="N76" s="760"/>
      <c r="O76" s="760"/>
      <c r="P76" s="760"/>
    </row>
    <row r="77" spans="1:16" ht="30" customHeight="1" x14ac:dyDescent="0.25">
      <c r="A77" s="28"/>
      <c r="B77" s="21"/>
      <c r="C77" s="21"/>
      <c r="D77" s="78"/>
      <c r="E77" s="784"/>
      <c r="F77" s="134" t="s">
        <v>13</v>
      </c>
      <c r="G77" s="618"/>
      <c r="H77" s="618"/>
      <c r="I77" s="139">
        <v>150</v>
      </c>
      <c r="J77" s="91" t="s">
        <v>11</v>
      </c>
      <c r="K77" s="831">
        <v>0</v>
      </c>
      <c r="L77" s="272">
        <f t="shared" si="3"/>
        <v>0</v>
      </c>
      <c r="N77" s="760"/>
      <c r="O77" s="760"/>
      <c r="P77" s="760"/>
    </row>
    <row r="78" spans="1:16" ht="30" customHeight="1" thickBot="1" x14ac:dyDescent="0.3">
      <c r="A78" s="858" t="s">
        <v>409</v>
      </c>
      <c r="B78" s="859"/>
      <c r="C78" s="859"/>
      <c r="D78" s="859"/>
      <c r="E78" s="859"/>
      <c r="F78" s="135" t="s">
        <v>19</v>
      </c>
      <c r="G78" s="619"/>
      <c r="H78" s="619"/>
      <c r="I78" s="140">
        <v>250</v>
      </c>
      <c r="J78" s="142" t="s">
        <v>11</v>
      </c>
      <c r="K78" s="832">
        <v>0</v>
      </c>
      <c r="L78" s="273">
        <f t="shared" si="3"/>
        <v>0</v>
      </c>
      <c r="N78" s="760"/>
      <c r="O78" s="760"/>
      <c r="P78" s="760"/>
    </row>
    <row r="79" spans="1:16" ht="30" customHeight="1" thickBot="1" x14ac:dyDescent="0.3">
      <c r="A79" s="856" t="s">
        <v>408</v>
      </c>
      <c r="B79" s="855"/>
      <c r="C79" s="855"/>
      <c r="D79" s="855"/>
      <c r="E79" s="855"/>
      <c r="F79" s="86"/>
      <c r="G79" s="253"/>
      <c r="H79" s="253"/>
      <c r="I79" s="225"/>
      <c r="J79" s="226"/>
      <c r="K79" s="258" t="s">
        <v>177</v>
      </c>
      <c r="L79" s="258">
        <f>SUM(L73:L78)</f>
        <v>0</v>
      </c>
      <c r="N79" s="760"/>
      <c r="O79" s="760"/>
      <c r="P79" s="760"/>
    </row>
    <row r="80" spans="1:16" ht="9.9499999999999993" customHeight="1" x14ac:dyDescent="0.25">
      <c r="A80" s="81"/>
      <c r="B80" s="82"/>
      <c r="C80" s="82"/>
      <c r="D80" s="82"/>
      <c r="E80" s="83"/>
      <c r="F80" s="82"/>
      <c r="G80" s="81"/>
      <c r="H80" s="81"/>
      <c r="I80" s="80"/>
      <c r="J80" s="80"/>
      <c r="K80" s="80"/>
      <c r="L80" s="80"/>
      <c r="N80" s="760"/>
      <c r="O80" s="760"/>
      <c r="P80" s="760"/>
    </row>
    <row r="81" spans="1:16" ht="9.9499999999999993" customHeight="1" x14ac:dyDescent="0.25">
      <c r="A81" s="34"/>
      <c r="B81" s="44"/>
      <c r="C81" s="44"/>
      <c r="D81" s="44"/>
      <c r="E81" s="56"/>
      <c r="F81" s="44"/>
      <c r="G81" s="34"/>
      <c r="H81" s="34"/>
      <c r="I81" s="57"/>
      <c r="J81" s="47"/>
      <c r="K81" s="47"/>
      <c r="L81" s="44"/>
      <c r="N81" s="760"/>
      <c r="O81" s="760"/>
      <c r="P81" s="760"/>
    </row>
    <row r="82" spans="1:16" ht="35.1" customHeight="1" x14ac:dyDescent="0.5">
      <c r="A82" s="785" t="str">
        <f>+A33</f>
        <v>2022 HMA SURFACING (Continued)</v>
      </c>
      <c r="B82" s="82"/>
      <c r="C82" s="82"/>
      <c r="D82" s="82"/>
      <c r="E82" s="83"/>
      <c r="F82" s="790"/>
      <c r="G82" s="790"/>
      <c r="H82" s="790"/>
      <c r="I82" s="80"/>
      <c r="J82" s="80"/>
      <c r="K82" s="80"/>
      <c r="L82" s="80"/>
      <c r="N82" s="760"/>
      <c r="O82" s="760"/>
      <c r="P82" s="760"/>
    </row>
    <row r="83" spans="1:16" ht="9.9499999999999993" customHeight="1" x14ac:dyDescent="0.25">
      <c r="A83" s="34"/>
      <c r="B83" s="44"/>
      <c r="C83" s="44"/>
      <c r="D83" s="44"/>
      <c r="E83" s="56"/>
      <c r="F83" s="44"/>
      <c r="G83" s="34"/>
      <c r="H83" s="34"/>
      <c r="I83" s="57"/>
      <c r="J83" s="47"/>
      <c r="K83" s="47"/>
      <c r="L83" s="44"/>
      <c r="N83" s="760"/>
      <c r="O83" s="760"/>
      <c r="P83" s="760"/>
    </row>
    <row r="84" spans="1:16" ht="35.1" customHeight="1" thickBot="1" x14ac:dyDescent="0.45">
      <c r="A84" s="852" t="s">
        <v>45</v>
      </c>
      <c r="B84" s="852"/>
      <c r="C84" s="852"/>
      <c r="D84" s="853"/>
      <c r="E84" s="853"/>
      <c r="F84" s="853"/>
      <c r="G84" s="853"/>
      <c r="H84" s="853"/>
      <c r="I84" s="853"/>
      <c r="J84" s="853"/>
      <c r="K84" s="55"/>
      <c r="L84" s="55"/>
      <c r="N84" s="760"/>
      <c r="O84" s="760"/>
      <c r="P84" s="760"/>
    </row>
    <row r="85" spans="1:16" ht="24.95" customHeight="1" thickBot="1" x14ac:dyDescent="0.45">
      <c r="A85" s="38"/>
      <c r="B85" s="38"/>
      <c r="C85" s="38"/>
      <c r="E85" s="37" t="s">
        <v>24</v>
      </c>
      <c r="G85" s="616"/>
      <c r="H85" s="407" t="s">
        <v>236</v>
      </c>
      <c r="I85" s="407" t="s">
        <v>235</v>
      </c>
      <c r="J85" s="616"/>
      <c r="K85" s="885" t="str">
        <f>+K5</f>
        <v>CONTRACTOR</v>
      </c>
      <c r="L85" s="886"/>
      <c r="N85" s="760"/>
      <c r="O85" s="760"/>
      <c r="P85" s="760"/>
    </row>
    <row r="86" spans="1:16" ht="24.95" customHeight="1" x14ac:dyDescent="0.35">
      <c r="A86" s="37" t="s">
        <v>7</v>
      </c>
      <c r="B86" s="75" t="s">
        <v>0</v>
      </c>
      <c r="C86" s="75" t="s">
        <v>1</v>
      </c>
      <c r="D86" s="75" t="s">
        <v>6</v>
      </c>
      <c r="E86" s="37" t="s">
        <v>391</v>
      </c>
      <c r="F86" s="75" t="s">
        <v>2</v>
      </c>
      <c r="G86" s="418" t="s">
        <v>238</v>
      </c>
      <c r="H86" s="418" t="s">
        <v>237</v>
      </c>
      <c r="I86" s="418" t="s">
        <v>16</v>
      </c>
      <c r="J86" s="418" t="s">
        <v>8</v>
      </c>
      <c r="K86" s="772" t="s">
        <v>3</v>
      </c>
      <c r="L86" s="540" t="s">
        <v>4</v>
      </c>
      <c r="N86" s="760"/>
      <c r="O86" s="760"/>
      <c r="P86" s="760"/>
    </row>
    <row r="87" spans="1:16" ht="35.1" customHeight="1" x14ac:dyDescent="0.25">
      <c r="A87" s="324" t="s">
        <v>30</v>
      </c>
      <c r="B87" s="333" t="s">
        <v>27</v>
      </c>
      <c r="C87" s="333"/>
      <c r="D87" s="333"/>
      <c r="E87" s="334"/>
      <c r="F87" s="89"/>
      <c r="G87" s="431"/>
      <c r="H87" s="324"/>
      <c r="I87" s="443"/>
      <c r="J87" s="327"/>
      <c r="K87" s="328"/>
      <c r="L87" s="328"/>
      <c r="M87" s="208"/>
      <c r="N87" s="761"/>
      <c r="O87" s="760"/>
      <c r="P87" s="760"/>
    </row>
    <row r="88" spans="1:16" ht="35.1" customHeight="1" x14ac:dyDescent="0.2">
      <c r="A88" s="675" t="s">
        <v>30</v>
      </c>
      <c r="B88" s="692" t="s">
        <v>196</v>
      </c>
      <c r="C88" s="325"/>
      <c r="D88" s="325"/>
      <c r="E88" s="326"/>
      <c r="F88" s="779"/>
      <c r="G88" s="780"/>
      <c r="H88" s="468"/>
      <c r="I88" s="327"/>
      <c r="J88" s="327"/>
      <c r="K88" s="781"/>
      <c r="L88" s="781"/>
      <c r="N88" s="759"/>
      <c r="O88" s="760"/>
      <c r="P88" s="760"/>
    </row>
    <row r="89" spans="1:16" ht="35.1" customHeight="1" x14ac:dyDescent="0.2">
      <c r="A89" s="675">
        <v>160</v>
      </c>
      <c r="B89" s="333" t="s">
        <v>35</v>
      </c>
      <c r="C89" s="333" t="s">
        <v>455</v>
      </c>
      <c r="D89" s="333" t="s">
        <v>456</v>
      </c>
      <c r="E89" s="334">
        <v>0.37</v>
      </c>
      <c r="F89" s="333" t="s">
        <v>457</v>
      </c>
      <c r="G89" s="431"/>
      <c r="H89" s="324"/>
      <c r="I89" s="443">
        <v>570</v>
      </c>
      <c r="J89" s="443" t="s">
        <v>11</v>
      </c>
      <c r="K89" s="831">
        <v>0</v>
      </c>
      <c r="L89" s="328">
        <f>+K89*I89</f>
        <v>0</v>
      </c>
      <c r="N89" s="759"/>
      <c r="O89" s="760"/>
      <c r="P89" s="760"/>
    </row>
    <row r="90" spans="1:16" ht="35.1" customHeight="1" x14ac:dyDescent="0.2">
      <c r="A90" s="811"/>
      <c r="B90" s="98"/>
      <c r="C90" s="692"/>
      <c r="D90" s="692"/>
      <c r="E90" s="693"/>
      <c r="F90" s="468" t="s">
        <v>449</v>
      </c>
      <c r="G90" s="657"/>
      <c r="H90" s="653"/>
      <c r="I90" s="335"/>
      <c r="J90" s="335"/>
      <c r="K90" s="337"/>
      <c r="L90" s="337"/>
      <c r="N90" s="759"/>
      <c r="O90" s="759"/>
      <c r="P90" s="760"/>
    </row>
    <row r="91" spans="1:16" ht="35.1" customHeight="1" x14ac:dyDescent="0.2">
      <c r="A91" s="675">
        <v>163</v>
      </c>
      <c r="B91" s="333" t="s">
        <v>35</v>
      </c>
      <c r="C91" s="692" t="s">
        <v>458</v>
      </c>
      <c r="D91" s="692" t="s">
        <v>459</v>
      </c>
      <c r="E91" s="693" t="s">
        <v>460</v>
      </c>
      <c r="F91" s="456" t="s">
        <v>471</v>
      </c>
      <c r="G91" s="657"/>
      <c r="H91" s="653"/>
      <c r="I91" s="335">
        <v>160</v>
      </c>
      <c r="J91" s="335" t="s">
        <v>11</v>
      </c>
      <c r="K91" s="832">
        <v>0</v>
      </c>
      <c r="L91" s="328">
        <f>+K91*I91</f>
        <v>0</v>
      </c>
      <c r="N91" s="759"/>
      <c r="O91" s="759"/>
      <c r="P91" s="760"/>
    </row>
    <row r="92" spans="1:16" s="839" customFormat="1" ht="35.1" customHeight="1" x14ac:dyDescent="0.2">
      <c r="A92" s="293">
        <v>102</v>
      </c>
      <c r="B92" s="95" t="s">
        <v>339</v>
      </c>
      <c r="C92" s="95" t="s">
        <v>484</v>
      </c>
      <c r="D92" s="95" t="s">
        <v>485</v>
      </c>
      <c r="E92" s="96">
        <v>0.22</v>
      </c>
      <c r="F92" s="840" t="s">
        <v>433</v>
      </c>
      <c r="G92" s="841"/>
      <c r="H92" s="842"/>
      <c r="I92" s="237">
        <v>75</v>
      </c>
      <c r="J92" s="237" t="s">
        <v>11</v>
      </c>
      <c r="K92" s="843">
        <v>0</v>
      </c>
      <c r="L92" s="308">
        <f>+K92*I92</f>
        <v>0</v>
      </c>
      <c r="N92" s="759"/>
      <c r="O92" s="759"/>
      <c r="P92" s="760"/>
    </row>
    <row r="93" spans="1:16" ht="35.1" customHeight="1" thickBot="1" x14ac:dyDescent="0.25">
      <c r="A93" s="293">
        <v>104</v>
      </c>
      <c r="B93" s="95" t="s">
        <v>339</v>
      </c>
      <c r="C93" s="95" t="s">
        <v>232</v>
      </c>
      <c r="D93" s="95" t="s">
        <v>486</v>
      </c>
      <c r="E93" s="96">
        <v>0.98</v>
      </c>
      <c r="F93" s="840" t="s">
        <v>433</v>
      </c>
      <c r="G93" s="841"/>
      <c r="H93" s="842"/>
      <c r="I93" s="237">
        <v>205</v>
      </c>
      <c r="J93" s="237" t="s">
        <v>11</v>
      </c>
      <c r="K93" s="843">
        <v>0</v>
      </c>
      <c r="L93" s="308">
        <f>+K93*I93</f>
        <v>0</v>
      </c>
      <c r="N93" s="759"/>
      <c r="O93" s="759"/>
      <c r="P93" s="760"/>
    </row>
    <row r="94" spans="1:16" ht="39.950000000000003" customHeight="1" thickBot="1" x14ac:dyDescent="0.3">
      <c r="A94" s="593"/>
      <c r="B94" s="594"/>
      <c r="C94" s="594"/>
      <c r="D94" s="594"/>
      <c r="E94" s="595"/>
      <c r="F94" s="596"/>
      <c r="G94" s="621"/>
      <c r="H94" s="658">
        <f>SUM(H87:H90)</f>
        <v>0</v>
      </c>
      <c r="I94" s="658">
        <f>SUM(I87:I93)</f>
        <v>1010</v>
      </c>
      <c r="J94" s="262" t="s">
        <v>11</v>
      </c>
      <c r="K94" s="310" t="s">
        <v>177</v>
      </c>
      <c r="L94" s="553">
        <f>SUM(L87:L93)</f>
        <v>0</v>
      </c>
      <c r="N94" s="760"/>
      <c r="O94" s="760"/>
      <c r="P94" s="760"/>
    </row>
    <row r="95" spans="1:16" ht="39.950000000000003" customHeight="1" thickBot="1" x14ac:dyDescent="0.3">
      <c r="A95" s="321" t="s">
        <v>106</v>
      </c>
      <c r="B95" s="322" t="s">
        <v>187</v>
      </c>
      <c r="C95" s="323"/>
      <c r="D95" s="323"/>
      <c r="E95" s="22"/>
      <c r="F95" s="82"/>
      <c r="G95" s="81"/>
      <c r="H95" s="81"/>
      <c r="I95" s="80"/>
      <c r="J95" s="80"/>
      <c r="K95" s="80"/>
      <c r="L95" s="80"/>
      <c r="N95" s="760"/>
      <c r="O95" s="760"/>
      <c r="P95" s="760"/>
    </row>
    <row r="96" spans="1:16" ht="27.95" customHeight="1" thickBot="1" x14ac:dyDescent="0.4">
      <c r="A96" s="28"/>
      <c r="B96" s="21"/>
      <c r="C96" s="21"/>
      <c r="D96" s="784"/>
      <c r="E96" s="784"/>
      <c r="F96" s="131" t="s">
        <v>47</v>
      </c>
      <c r="G96" s="617"/>
      <c r="H96" s="617"/>
      <c r="I96" s="770" t="s">
        <v>16</v>
      </c>
      <c r="J96" s="770" t="s">
        <v>396</v>
      </c>
      <c r="K96" s="770" t="s">
        <v>3</v>
      </c>
      <c r="L96" s="770" t="s">
        <v>4</v>
      </c>
      <c r="N96" s="760"/>
      <c r="O96" s="760"/>
      <c r="P96" s="760"/>
    </row>
    <row r="97" spans="1:17" ht="27.95" customHeight="1" thickTop="1" x14ac:dyDescent="0.25">
      <c r="A97" s="28"/>
      <c r="B97" s="890" t="s">
        <v>48</v>
      </c>
      <c r="C97" s="891"/>
      <c r="D97" s="892"/>
      <c r="E97" s="784"/>
      <c r="F97" s="134" t="s">
        <v>61</v>
      </c>
      <c r="G97" s="618"/>
      <c r="H97" s="618"/>
      <c r="I97" s="139">
        <v>3500</v>
      </c>
      <c r="J97" s="91" t="s">
        <v>9</v>
      </c>
      <c r="K97" s="830">
        <v>0</v>
      </c>
      <c r="L97" s="769">
        <f t="shared" ref="L97:L102" si="4">+K97*I97</f>
        <v>0</v>
      </c>
      <c r="N97" s="760"/>
      <c r="O97" s="760"/>
      <c r="P97" s="760"/>
    </row>
    <row r="98" spans="1:17" ht="24.95" customHeight="1" thickBot="1" x14ac:dyDescent="0.3">
      <c r="A98" s="28"/>
      <c r="B98" s="893" t="s">
        <v>49</v>
      </c>
      <c r="C98" s="894"/>
      <c r="D98" s="895"/>
      <c r="E98" s="784"/>
      <c r="F98" s="134" t="s">
        <v>62</v>
      </c>
      <c r="G98" s="618"/>
      <c r="H98" s="618"/>
      <c r="I98" s="139">
        <v>7500</v>
      </c>
      <c r="J98" s="91" t="s">
        <v>9</v>
      </c>
      <c r="K98" s="831">
        <v>0</v>
      </c>
      <c r="L98" s="272">
        <f t="shared" si="4"/>
        <v>0</v>
      </c>
      <c r="N98" s="760"/>
      <c r="O98" s="760"/>
      <c r="P98" s="760"/>
    </row>
    <row r="99" spans="1:17" ht="30" customHeight="1" thickTop="1" thickBot="1" x14ac:dyDescent="0.3">
      <c r="A99" s="28"/>
      <c r="B99" s="844"/>
      <c r="C99" s="845"/>
      <c r="D99" s="79"/>
      <c r="E99" s="784"/>
      <c r="F99" s="134" t="s">
        <v>10</v>
      </c>
      <c r="G99" s="618"/>
      <c r="H99" s="618"/>
      <c r="I99" s="139">
        <v>25</v>
      </c>
      <c r="J99" s="91" t="s">
        <v>11</v>
      </c>
      <c r="K99" s="831">
        <v>0</v>
      </c>
      <c r="L99" s="272">
        <f t="shared" si="4"/>
        <v>0</v>
      </c>
      <c r="N99" s="760"/>
      <c r="O99" s="760"/>
      <c r="P99" s="760"/>
    </row>
    <row r="100" spans="1:17" ht="30" customHeight="1" thickBot="1" x14ac:dyDescent="0.4">
      <c r="A100" s="28"/>
      <c r="B100" s="75"/>
      <c r="C100" s="75"/>
      <c r="D100" s="137" t="s">
        <v>76</v>
      </c>
      <c r="E100" s="87"/>
      <c r="F100" s="136" t="s">
        <v>12</v>
      </c>
      <c r="G100" s="618"/>
      <c r="H100" s="618"/>
      <c r="I100" s="139">
        <v>75</v>
      </c>
      <c r="J100" s="91" t="s">
        <v>11</v>
      </c>
      <c r="K100" s="831">
        <v>0</v>
      </c>
      <c r="L100" s="272">
        <f t="shared" si="4"/>
        <v>0</v>
      </c>
      <c r="N100" s="760"/>
      <c r="O100" s="760"/>
      <c r="P100" s="760"/>
    </row>
    <row r="101" spans="1:17" ht="30" customHeight="1" x14ac:dyDescent="0.25">
      <c r="A101" s="28"/>
      <c r="B101" s="21"/>
      <c r="C101" s="21"/>
      <c r="D101" s="78"/>
      <c r="E101" s="784"/>
      <c r="F101" s="134" t="s">
        <v>13</v>
      </c>
      <c r="G101" s="618"/>
      <c r="H101" s="618"/>
      <c r="I101" s="139">
        <v>150</v>
      </c>
      <c r="J101" s="91" t="s">
        <v>11</v>
      </c>
      <c r="K101" s="831">
        <v>0</v>
      </c>
      <c r="L101" s="272">
        <f t="shared" si="4"/>
        <v>0</v>
      </c>
      <c r="N101" s="760"/>
      <c r="O101" s="760"/>
      <c r="P101" s="760"/>
    </row>
    <row r="102" spans="1:17" ht="30" customHeight="1" thickBot="1" x14ac:dyDescent="0.3">
      <c r="A102" s="858" t="s">
        <v>409</v>
      </c>
      <c r="B102" s="859"/>
      <c r="C102" s="859"/>
      <c r="D102" s="859"/>
      <c r="E102" s="859"/>
      <c r="F102" s="135" t="s">
        <v>19</v>
      </c>
      <c r="G102" s="619"/>
      <c r="H102" s="619"/>
      <c r="I102" s="140">
        <v>250</v>
      </c>
      <c r="J102" s="142" t="s">
        <v>11</v>
      </c>
      <c r="K102" s="832">
        <v>0</v>
      </c>
      <c r="L102" s="273">
        <f t="shared" si="4"/>
        <v>0</v>
      </c>
      <c r="N102" s="760"/>
      <c r="O102" s="760"/>
      <c r="P102" s="760"/>
    </row>
    <row r="103" spans="1:17" ht="30" customHeight="1" thickBot="1" x14ac:dyDescent="0.3">
      <c r="A103" s="856" t="s">
        <v>408</v>
      </c>
      <c r="B103" s="855"/>
      <c r="C103" s="855"/>
      <c r="D103" s="855"/>
      <c r="E103" s="855"/>
      <c r="F103" s="86"/>
      <c r="G103" s="253"/>
      <c r="H103" s="253"/>
      <c r="I103" s="225"/>
      <c r="J103" s="226"/>
      <c r="K103" s="258" t="s">
        <v>177</v>
      </c>
      <c r="L103" s="258">
        <f>SUM(L97:L102)</f>
        <v>0</v>
      </c>
      <c r="N103" s="760"/>
      <c r="O103" s="760"/>
      <c r="P103" s="760"/>
    </row>
    <row r="104" spans="1:17" ht="30" customHeight="1" x14ac:dyDescent="0.2">
      <c r="A104" s="24"/>
      <c r="B104" s="61"/>
      <c r="C104" s="61"/>
      <c r="D104" s="61"/>
      <c r="E104" s="62"/>
      <c r="F104" s="27"/>
      <c r="G104" s="623"/>
      <c r="H104" s="623"/>
      <c r="I104" s="15"/>
      <c r="J104" s="64"/>
      <c r="K104" s="64"/>
      <c r="L104" s="64"/>
      <c r="N104" s="760"/>
      <c r="O104" s="760"/>
      <c r="P104" s="760"/>
    </row>
    <row r="105" spans="1:17" ht="12.75" customHeight="1" x14ac:dyDescent="0.2">
      <c r="A105" s="48"/>
      <c r="B105" s="71"/>
      <c r="C105" s="71"/>
      <c r="D105" s="71"/>
      <c r="E105" s="72"/>
      <c r="F105" s="73"/>
      <c r="G105" s="624"/>
      <c r="H105" s="624"/>
      <c r="I105" s="74"/>
      <c r="J105" s="54"/>
      <c r="K105" s="54"/>
      <c r="L105" s="54"/>
      <c r="N105" s="760"/>
      <c r="O105" s="760"/>
      <c r="P105" s="760"/>
    </row>
    <row r="106" spans="1:17" ht="37.5" customHeight="1" x14ac:dyDescent="0.5">
      <c r="A106" s="785" t="str">
        <f>+A33</f>
        <v>2022 HMA SURFACING (Continued)</v>
      </c>
      <c r="B106" s="61"/>
      <c r="C106" s="61"/>
      <c r="D106" s="61"/>
      <c r="E106" s="62"/>
      <c r="F106" s="790"/>
      <c r="G106" s="790"/>
      <c r="H106" s="790"/>
      <c r="I106" s="15"/>
      <c r="J106" s="64"/>
      <c r="K106" s="64"/>
      <c r="L106" s="64"/>
      <c r="N106" s="760"/>
      <c r="O106" s="760"/>
      <c r="P106" s="760"/>
    </row>
    <row r="107" spans="1:17" ht="9.9499999999999993" customHeight="1" thickBot="1" x14ac:dyDescent="0.55000000000000004">
      <c r="A107" s="70"/>
      <c r="B107" s="71"/>
      <c r="C107" s="71"/>
      <c r="D107" s="71"/>
      <c r="E107" s="72"/>
      <c r="F107" s="73"/>
      <c r="G107" s="624"/>
      <c r="H107" s="624"/>
      <c r="I107" s="74"/>
      <c r="J107" s="54"/>
      <c r="K107" s="54"/>
      <c r="L107" s="54"/>
      <c r="N107" s="760"/>
      <c r="O107" s="760"/>
      <c r="P107" s="760"/>
    </row>
    <row r="108" spans="1:17" ht="27" customHeight="1" thickBot="1" x14ac:dyDescent="0.45">
      <c r="A108" s="857" t="s">
        <v>17</v>
      </c>
      <c r="B108" s="857"/>
      <c r="C108" s="857"/>
      <c r="D108" s="69"/>
      <c r="E108" s="37" t="s">
        <v>24</v>
      </c>
      <c r="F108" s="69"/>
      <c r="G108" s="616"/>
      <c r="H108" s="407" t="s">
        <v>236</v>
      </c>
      <c r="I108" s="407" t="s">
        <v>235</v>
      </c>
      <c r="J108" s="616"/>
      <c r="K108" s="885" t="str">
        <f>+K5</f>
        <v>CONTRACTOR</v>
      </c>
      <c r="L108" s="886"/>
      <c r="N108" s="760"/>
      <c r="O108" s="760"/>
      <c r="P108" s="760"/>
    </row>
    <row r="109" spans="1:17" ht="27" customHeight="1" thickBot="1" x14ac:dyDescent="0.4">
      <c r="A109" s="103" t="s">
        <v>7</v>
      </c>
      <c r="B109" s="104" t="s">
        <v>0</v>
      </c>
      <c r="C109" s="104" t="s">
        <v>1</v>
      </c>
      <c r="D109" s="104" t="s">
        <v>6</v>
      </c>
      <c r="E109" s="37" t="s">
        <v>391</v>
      </c>
      <c r="F109" s="104" t="s">
        <v>2</v>
      </c>
      <c r="G109" s="418" t="s">
        <v>238</v>
      </c>
      <c r="H109" s="418" t="s">
        <v>237</v>
      </c>
      <c r="I109" s="418" t="s">
        <v>16</v>
      </c>
      <c r="J109" s="418" t="s">
        <v>8</v>
      </c>
      <c r="K109" s="772" t="s">
        <v>3</v>
      </c>
      <c r="L109" s="540" t="s">
        <v>4</v>
      </c>
      <c r="N109" s="760"/>
      <c r="O109" s="760"/>
      <c r="P109" s="760"/>
    </row>
    <row r="110" spans="1:17" ht="35.1" customHeight="1" x14ac:dyDescent="0.2">
      <c r="A110" s="819" t="s">
        <v>63</v>
      </c>
      <c r="B110" s="812" t="s">
        <v>14</v>
      </c>
      <c r="C110" s="812" t="s">
        <v>461</v>
      </c>
      <c r="D110" s="813" t="s">
        <v>479</v>
      </c>
      <c r="E110" s="814">
        <v>3</v>
      </c>
      <c r="F110" s="779" t="s">
        <v>483</v>
      </c>
      <c r="G110" s="798"/>
      <c r="H110" s="815"/>
      <c r="I110" s="796">
        <v>200</v>
      </c>
      <c r="J110" s="800" t="s">
        <v>11</v>
      </c>
      <c r="K110" s="834">
        <v>0</v>
      </c>
      <c r="L110" s="810">
        <f>+K110*I110</f>
        <v>0</v>
      </c>
      <c r="N110" s="887"/>
      <c r="O110" s="887"/>
      <c r="P110" s="887"/>
    </row>
    <row r="111" spans="1:17" ht="35.1" customHeight="1" x14ac:dyDescent="0.25">
      <c r="A111" s="836"/>
      <c r="B111" s="836"/>
      <c r="C111" s="836"/>
      <c r="D111" s="742"/>
      <c r="E111" s="836"/>
      <c r="F111" s="836"/>
      <c r="G111" s="837"/>
      <c r="H111" s="838"/>
      <c r="I111" s="461"/>
      <c r="J111" s="443"/>
      <c r="K111" s="328"/>
      <c r="L111" s="328"/>
      <c r="M111" s="787"/>
      <c r="N111" s="760"/>
      <c r="O111" s="760"/>
      <c r="P111" s="760"/>
    </row>
    <row r="112" spans="1:17" ht="35.1" customHeight="1" x14ac:dyDescent="0.2">
      <c r="A112" s="294" t="s">
        <v>64</v>
      </c>
      <c r="B112" s="468" t="s">
        <v>14</v>
      </c>
      <c r="C112" s="468" t="s">
        <v>356</v>
      </c>
      <c r="D112" s="325" t="s">
        <v>480</v>
      </c>
      <c r="E112" s="326">
        <v>5</v>
      </c>
      <c r="F112" s="779" t="s">
        <v>483</v>
      </c>
      <c r="G112" s="780"/>
      <c r="H112" s="468"/>
      <c r="I112" s="778">
        <v>1100</v>
      </c>
      <c r="J112" s="327" t="s">
        <v>173</v>
      </c>
      <c r="K112" s="835">
        <v>0</v>
      </c>
      <c r="L112" s="781">
        <f>+K112*I112</f>
        <v>0</v>
      </c>
      <c r="M112" s="687"/>
      <c r="N112" s="760"/>
      <c r="O112" s="760"/>
      <c r="P112" s="763"/>
      <c r="Q112" s="3"/>
    </row>
    <row r="113" spans="1:17" ht="35.1" customHeight="1" x14ac:dyDescent="0.2">
      <c r="A113" s="324"/>
      <c r="B113" s="882" t="s">
        <v>481</v>
      </c>
      <c r="C113" s="883"/>
      <c r="D113" s="883"/>
      <c r="E113" s="884"/>
      <c r="F113" s="89"/>
      <c r="G113" s="431"/>
      <c r="H113" s="324"/>
      <c r="I113" s="461"/>
      <c r="J113" s="443"/>
      <c r="K113" s="328"/>
      <c r="L113" s="328"/>
      <c r="M113" s="687"/>
      <c r="N113" s="760"/>
      <c r="O113" s="760"/>
      <c r="P113" s="763"/>
      <c r="Q113" s="3"/>
    </row>
    <row r="114" spans="1:17" ht="35.1" customHeight="1" x14ac:dyDescent="0.2">
      <c r="A114" s="324" t="s">
        <v>65</v>
      </c>
      <c r="B114" s="324" t="s">
        <v>15</v>
      </c>
      <c r="C114" s="324" t="s">
        <v>462</v>
      </c>
      <c r="D114" s="333" t="s">
        <v>478</v>
      </c>
      <c r="E114" s="334">
        <v>0.26</v>
      </c>
      <c r="F114" s="333" t="s">
        <v>482</v>
      </c>
      <c r="G114" s="431"/>
      <c r="H114" s="324"/>
      <c r="I114" s="461">
        <v>350</v>
      </c>
      <c r="J114" s="443" t="s">
        <v>173</v>
      </c>
      <c r="K114" s="831">
        <v>0</v>
      </c>
      <c r="L114" s="328">
        <f>+K114*I114</f>
        <v>0</v>
      </c>
      <c r="M114" s="687"/>
      <c r="N114" s="760"/>
      <c r="O114" s="760"/>
      <c r="P114" s="763"/>
      <c r="Q114" s="3"/>
    </row>
    <row r="115" spans="1:17" ht="35.1" customHeight="1" x14ac:dyDescent="0.2">
      <c r="A115" s="324"/>
      <c r="B115" s="456"/>
      <c r="C115" s="333"/>
      <c r="D115" s="333"/>
      <c r="E115" s="334"/>
      <c r="F115" s="89" t="s">
        <v>463</v>
      </c>
      <c r="G115" s="431"/>
      <c r="H115" s="324"/>
      <c r="I115" s="461">
        <v>2</v>
      </c>
      <c r="J115" s="443" t="s">
        <v>77</v>
      </c>
      <c r="K115" s="831">
        <v>0</v>
      </c>
      <c r="L115" s="328">
        <f>+K115*I115</f>
        <v>0</v>
      </c>
      <c r="M115" s="687"/>
      <c r="N115" s="760"/>
      <c r="O115" s="760"/>
      <c r="P115" s="763"/>
      <c r="Q115" s="3"/>
    </row>
    <row r="116" spans="1:17" ht="35.1" customHeight="1" x14ac:dyDescent="0.2">
      <c r="A116" s="324"/>
      <c r="B116" s="456"/>
      <c r="C116" s="333"/>
      <c r="D116" s="333"/>
      <c r="E116" s="334"/>
      <c r="F116" s="89"/>
      <c r="G116" s="431"/>
      <c r="H116" s="324"/>
      <c r="I116" s="461"/>
      <c r="J116" s="443"/>
      <c r="K116" s="328"/>
      <c r="L116" s="328"/>
      <c r="M116" s="687"/>
      <c r="N116" s="760"/>
      <c r="O116" s="760"/>
      <c r="P116" s="763"/>
      <c r="Q116" s="3"/>
    </row>
    <row r="117" spans="1:17" ht="35.1" customHeight="1" x14ac:dyDescent="0.2">
      <c r="A117" s="324" t="s">
        <v>75</v>
      </c>
      <c r="B117" s="324" t="s">
        <v>15</v>
      </c>
      <c r="C117" s="324" t="s">
        <v>464</v>
      </c>
      <c r="D117" s="333" t="s">
        <v>477</v>
      </c>
      <c r="E117" s="334">
        <v>0.98</v>
      </c>
      <c r="F117" s="333" t="s">
        <v>476</v>
      </c>
      <c r="G117" s="431"/>
      <c r="H117" s="324"/>
      <c r="I117" s="461">
        <v>1050</v>
      </c>
      <c r="J117" s="443" t="s">
        <v>173</v>
      </c>
      <c r="K117" s="831">
        <v>0</v>
      </c>
      <c r="L117" s="328">
        <f>+K117*I117</f>
        <v>0</v>
      </c>
      <c r="M117" s="687"/>
      <c r="N117" s="760"/>
      <c r="O117" s="760"/>
      <c r="P117" s="763"/>
      <c r="Q117" s="3"/>
    </row>
    <row r="118" spans="1:17" ht="35.1" customHeight="1" x14ac:dyDescent="0.2">
      <c r="A118" s="775"/>
      <c r="B118" s="776"/>
      <c r="C118" s="888" t="s">
        <v>472</v>
      </c>
      <c r="D118" s="889"/>
      <c r="E118" s="777"/>
      <c r="F118" s="89" t="s">
        <v>463</v>
      </c>
      <c r="G118" s="431"/>
      <c r="H118" s="324"/>
      <c r="I118" s="461">
        <v>2</v>
      </c>
      <c r="J118" s="443" t="s">
        <v>77</v>
      </c>
      <c r="K118" s="831">
        <v>0</v>
      </c>
      <c r="L118" s="328">
        <f>+K118*I118</f>
        <v>0</v>
      </c>
      <c r="M118" s="687"/>
      <c r="N118" s="760"/>
      <c r="O118" s="760"/>
      <c r="P118" s="763"/>
      <c r="Q118" s="3"/>
    </row>
    <row r="119" spans="1:17" ht="35.1" customHeight="1" x14ac:dyDescent="0.2">
      <c r="A119" s="775"/>
      <c r="B119" s="776"/>
      <c r="C119" s="774"/>
      <c r="D119" s="774"/>
      <c r="E119" s="777"/>
      <c r="F119" s="89"/>
      <c r="G119" s="431"/>
      <c r="H119" s="324"/>
      <c r="I119" s="461"/>
      <c r="J119" s="443"/>
      <c r="K119" s="328"/>
      <c r="L119" s="328"/>
      <c r="M119" s="687"/>
      <c r="N119" s="760"/>
      <c r="O119" s="760"/>
      <c r="P119" s="763"/>
      <c r="Q119" s="3"/>
    </row>
    <row r="120" spans="1:17" ht="35.1" customHeight="1" x14ac:dyDescent="0.2">
      <c r="A120" s="324" t="s">
        <v>120</v>
      </c>
      <c r="B120" s="324" t="s">
        <v>33</v>
      </c>
      <c r="C120" s="324" t="s">
        <v>465</v>
      </c>
      <c r="D120" s="333" t="s">
        <v>466</v>
      </c>
      <c r="E120" s="334">
        <v>1</v>
      </c>
      <c r="F120" s="333" t="s">
        <v>475</v>
      </c>
      <c r="G120" s="468"/>
      <c r="H120" s="324"/>
      <c r="I120" s="462">
        <v>1150</v>
      </c>
      <c r="J120" s="335" t="s">
        <v>173</v>
      </c>
      <c r="K120" s="832">
        <v>0</v>
      </c>
      <c r="L120" s="337">
        <f>+K120*I120</f>
        <v>0</v>
      </c>
      <c r="M120" s="687"/>
      <c r="N120" s="760"/>
      <c r="O120" s="760"/>
      <c r="P120" s="763"/>
      <c r="Q120" s="3"/>
    </row>
    <row r="121" spans="1:17" ht="35.1" customHeight="1" thickBot="1" x14ac:dyDescent="0.25">
      <c r="A121" s="324"/>
      <c r="B121" s="324"/>
      <c r="C121" s="324"/>
      <c r="D121" s="333"/>
      <c r="E121" s="334"/>
      <c r="F121" s="89" t="s">
        <v>463</v>
      </c>
      <c r="G121" s="468"/>
      <c r="H121" s="324"/>
      <c r="I121" s="461">
        <v>2</v>
      </c>
      <c r="J121" s="443" t="s">
        <v>77</v>
      </c>
      <c r="K121" s="831">
        <v>0</v>
      </c>
      <c r="L121" s="328">
        <f>+K121*I121</f>
        <v>0</v>
      </c>
      <c r="M121" s="687"/>
      <c r="N121" s="760"/>
      <c r="O121" s="760"/>
      <c r="P121" s="763"/>
      <c r="Q121" s="3"/>
    </row>
    <row r="122" spans="1:17" ht="39.950000000000003" customHeight="1" thickBot="1" x14ac:dyDescent="0.3">
      <c r="A122" s="81"/>
      <c r="B122" s="82"/>
      <c r="C122" s="82"/>
      <c r="D122" s="82"/>
      <c r="E122" s="83"/>
      <c r="F122" s="449"/>
      <c r="G122" s="661"/>
      <c r="H122" s="816">
        <f>SUM(H110:H121)</f>
        <v>0</v>
      </c>
      <c r="I122" s="309">
        <f>+I110+I112+I114+I117+I120</f>
        <v>3850</v>
      </c>
      <c r="J122" s="262" t="s">
        <v>11</v>
      </c>
      <c r="K122" s="310" t="s">
        <v>177</v>
      </c>
      <c r="L122" s="310">
        <f>SUM(L110:L121)</f>
        <v>0</v>
      </c>
      <c r="M122" s="3"/>
      <c r="N122" s="760"/>
      <c r="O122" s="760"/>
      <c r="P122" s="763"/>
      <c r="Q122" s="3"/>
    </row>
    <row r="123" spans="1:17" ht="30" customHeight="1" thickBot="1" x14ac:dyDescent="0.35">
      <c r="A123" s="858" t="s">
        <v>409</v>
      </c>
      <c r="B123" s="859"/>
      <c r="C123" s="859"/>
      <c r="D123" s="859"/>
      <c r="E123" s="859"/>
      <c r="F123" s="84"/>
      <c r="G123" s="625"/>
      <c r="H123" s="625"/>
      <c r="I123" s="311"/>
      <c r="J123" s="80"/>
      <c r="K123" s="80"/>
      <c r="L123" s="80"/>
      <c r="M123" s="3"/>
      <c r="N123" s="760"/>
      <c r="O123" s="760"/>
      <c r="P123" s="763"/>
      <c r="Q123" s="3"/>
    </row>
    <row r="124" spans="1:17" ht="30" customHeight="1" thickBot="1" x14ac:dyDescent="0.4">
      <c r="A124" s="856" t="s">
        <v>408</v>
      </c>
      <c r="B124" s="855"/>
      <c r="C124" s="855"/>
      <c r="D124" s="855"/>
      <c r="E124" s="855"/>
      <c r="F124" s="320" t="s">
        <v>47</v>
      </c>
      <c r="G124" s="626"/>
      <c r="H124" s="626"/>
      <c r="I124" s="770" t="s">
        <v>16</v>
      </c>
      <c r="J124" s="770" t="s">
        <v>396</v>
      </c>
      <c r="K124" s="770" t="s">
        <v>3</v>
      </c>
      <c r="L124" s="770" t="s">
        <v>4</v>
      </c>
      <c r="M124" s="3"/>
      <c r="N124" s="760"/>
      <c r="O124" s="760"/>
      <c r="P124" s="763"/>
      <c r="Q124" s="3"/>
    </row>
    <row r="125" spans="1:17" ht="30" customHeight="1" x14ac:dyDescent="0.25">
      <c r="A125" s="29"/>
      <c r="B125" s="21"/>
      <c r="C125" s="21"/>
      <c r="D125" s="21"/>
      <c r="E125" s="21"/>
      <c r="F125" s="134" t="s">
        <v>61</v>
      </c>
      <c r="G125" s="618"/>
      <c r="H125" s="618"/>
      <c r="I125" s="139">
        <v>3500</v>
      </c>
      <c r="J125" s="91" t="s">
        <v>9</v>
      </c>
      <c r="K125" s="831">
        <v>0</v>
      </c>
      <c r="L125" s="272">
        <f t="shared" ref="L125:L130" si="5">+K125*I125</f>
        <v>0</v>
      </c>
      <c r="M125" s="3"/>
      <c r="N125" s="760"/>
      <c r="O125" s="760"/>
      <c r="P125" s="763"/>
      <c r="Q125" s="3"/>
    </row>
    <row r="126" spans="1:17" ht="24.95" customHeight="1" x14ac:dyDescent="0.25">
      <c r="A126" s="29"/>
      <c r="B126" s="21"/>
      <c r="C126" s="21"/>
      <c r="D126" s="21"/>
      <c r="E126" s="21"/>
      <c r="F126" s="134" t="s">
        <v>62</v>
      </c>
      <c r="G126" s="618"/>
      <c r="H126" s="618"/>
      <c r="I126" s="139">
        <v>7500</v>
      </c>
      <c r="J126" s="91" t="s">
        <v>9</v>
      </c>
      <c r="K126" s="831">
        <v>0</v>
      </c>
      <c r="L126" s="272">
        <f t="shared" si="5"/>
        <v>0</v>
      </c>
      <c r="M126" s="3"/>
      <c r="N126" s="760"/>
      <c r="O126" s="760"/>
      <c r="P126" s="763"/>
      <c r="Q126" s="3"/>
    </row>
    <row r="127" spans="1:17" ht="24.95" customHeight="1" thickBot="1" x14ac:dyDescent="0.3">
      <c r="A127" s="29"/>
      <c r="B127" s="21"/>
      <c r="C127" s="21"/>
      <c r="D127" s="21"/>
      <c r="E127" s="21"/>
      <c r="F127" s="134" t="s">
        <v>10</v>
      </c>
      <c r="G127" s="618"/>
      <c r="H127" s="618"/>
      <c r="I127" s="139">
        <v>25</v>
      </c>
      <c r="J127" s="91" t="s">
        <v>11</v>
      </c>
      <c r="K127" s="831">
        <v>0</v>
      </c>
      <c r="L127" s="272">
        <f t="shared" si="5"/>
        <v>0</v>
      </c>
      <c r="M127" s="3"/>
      <c r="N127" s="760"/>
      <c r="O127" s="760"/>
      <c r="P127" s="763"/>
      <c r="Q127" s="3"/>
    </row>
    <row r="128" spans="1:17" ht="24.95" customHeight="1" thickBot="1" x14ac:dyDescent="0.4">
      <c r="A128" s="29"/>
      <c r="B128" s="119"/>
      <c r="C128" s="75"/>
      <c r="D128" s="137" t="s">
        <v>76</v>
      </c>
      <c r="E128" s="87"/>
      <c r="F128" s="136" t="s">
        <v>12</v>
      </c>
      <c r="G128" s="618"/>
      <c r="H128" s="618"/>
      <c r="I128" s="139">
        <v>75</v>
      </c>
      <c r="J128" s="91" t="s">
        <v>11</v>
      </c>
      <c r="K128" s="831">
        <v>0</v>
      </c>
      <c r="L128" s="272">
        <f t="shared" si="5"/>
        <v>0</v>
      </c>
      <c r="M128" s="3"/>
      <c r="N128" s="760"/>
      <c r="O128" s="760"/>
      <c r="P128" s="763"/>
      <c r="Q128" s="3"/>
    </row>
    <row r="129" spans="1:17" ht="24.95" customHeight="1" x14ac:dyDescent="0.25">
      <c r="A129" s="860"/>
      <c r="B129" s="861"/>
      <c r="C129" s="861"/>
      <c r="D129" s="861"/>
      <c r="E129" s="861"/>
      <c r="F129" s="134" t="s">
        <v>13</v>
      </c>
      <c r="G129" s="618"/>
      <c r="H129" s="618"/>
      <c r="I129" s="139">
        <v>150</v>
      </c>
      <c r="J129" s="91" t="s">
        <v>11</v>
      </c>
      <c r="K129" s="831">
        <v>0</v>
      </c>
      <c r="L129" s="272">
        <f t="shared" si="5"/>
        <v>0</v>
      </c>
      <c r="M129" s="3"/>
      <c r="N129" s="760"/>
      <c r="O129" s="760"/>
      <c r="P129" s="763"/>
      <c r="Q129" s="3"/>
    </row>
    <row r="130" spans="1:17" ht="24.95" customHeight="1" thickBot="1" x14ac:dyDescent="0.3">
      <c r="A130" s="856"/>
      <c r="B130" s="855"/>
      <c r="C130" s="855"/>
      <c r="D130" s="855"/>
      <c r="E130" s="855"/>
      <c r="F130" s="135" t="s">
        <v>19</v>
      </c>
      <c r="G130" s="619"/>
      <c r="H130" s="619"/>
      <c r="I130" s="140">
        <v>250</v>
      </c>
      <c r="J130" s="142" t="s">
        <v>11</v>
      </c>
      <c r="K130" s="832">
        <v>0</v>
      </c>
      <c r="L130" s="273">
        <f t="shared" si="5"/>
        <v>0</v>
      </c>
      <c r="M130" s="3"/>
      <c r="N130" s="764"/>
      <c r="O130" s="764"/>
      <c r="P130" s="763"/>
      <c r="Q130" s="212"/>
    </row>
    <row r="131" spans="1:17" ht="24.95" customHeight="1" thickBot="1" x14ac:dyDescent="0.3">
      <c r="A131" s="856"/>
      <c r="B131" s="855"/>
      <c r="C131" s="855"/>
      <c r="D131" s="855"/>
      <c r="E131" s="855"/>
      <c r="F131" s="86"/>
      <c r="G131" s="253"/>
      <c r="H131" s="253"/>
      <c r="I131" s="225"/>
      <c r="J131" s="226"/>
      <c r="K131" s="310" t="s">
        <v>177</v>
      </c>
      <c r="L131" s="310">
        <f>SUM(L125:L130)</f>
        <v>0</v>
      </c>
      <c r="M131" s="3"/>
      <c r="P131" s="212"/>
      <c r="Q131" s="3"/>
    </row>
    <row r="132" spans="1:17" ht="24.95" customHeight="1" x14ac:dyDescent="0.2">
      <c r="A132" s="14"/>
      <c r="B132" s="85"/>
      <c r="C132" s="85"/>
      <c r="D132" s="85"/>
      <c r="E132" s="85"/>
      <c r="F132" s="85"/>
      <c r="G132" s="627"/>
      <c r="H132" s="627"/>
      <c r="I132" s="85"/>
      <c r="J132" s="85"/>
      <c r="K132" s="85"/>
      <c r="L132" s="85"/>
      <c r="M132" s="3"/>
      <c r="N132" s="3"/>
      <c r="O132" s="3"/>
      <c r="P132" s="212"/>
      <c r="Q132" s="212"/>
    </row>
    <row r="133" spans="1:17" ht="9.9499999999999993" customHeight="1" x14ac:dyDescent="0.2">
      <c r="A133" s="48"/>
      <c r="B133" s="71"/>
      <c r="C133" s="71"/>
      <c r="D133" s="71"/>
      <c r="E133" s="72"/>
      <c r="F133" s="73"/>
      <c r="G133" s="624"/>
      <c r="H133" s="624"/>
      <c r="I133" s="74"/>
      <c r="J133" s="54"/>
      <c r="K133" s="54"/>
      <c r="L133" s="54"/>
      <c r="M133" s="3"/>
      <c r="P133" s="212"/>
      <c r="Q133" s="3"/>
    </row>
    <row r="134" spans="1:17" ht="30" customHeight="1" thickBot="1" x14ac:dyDescent="0.25">
      <c r="F134" s="790"/>
      <c r="G134" s="790"/>
      <c r="H134" s="790"/>
      <c r="I134" s="787"/>
      <c r="M134" s="3"/>
      <c r="P134" s="212"/>
      <c r="Q134" s="3"/>
    </row>
    <row r="135" spans="1:17" ht="30" customHeight="1" thickBot="1" x14ac:dyDescent="0.25">
      <c r="B135" s="4"/>
      <c r="C135" s="4"/>
      <c r="D135" s="298" t="s">
        <v>467</v>
      </c>
      <c r="E135" s="297"/>
      <c r="H135" s="557" t="s">
        <v>236</v>
      </c>
      <c r="I135" s="773" t="s">
        <v>246</v>
      </c>
      <c r="J135" s="822" t="s">
        <v>397</v>
      </c>
      <c r="K135" s="885" t="str">
        <f>+K5</f>
        <v>CONTRACTOR</v>
      </c>
      <c r="L135" s="886"/>
      <c r="M135" s="3"/>
      <c r="P135" s="212"/>
      <c r="Q135" s="3"/>
    </row>
    <row r="136" spans="1:17" ht="30" customHeight="1" x14ac:dyDescent="0.4">
      <c r="B136" s="235"/>
      <c r="C136" s="789">
        <v>2022</v>
      </c>
      <c r="D136" s="869" t="s">
        <v>42</v>
      </c>
      <c r="E136" s="870"/>
      <c r="F136" s="871"/>
      <c r="G136" s="566"/>
      <c r="H136" s="567">
        <f>+H21</f>
        <v>0</v>
      </c>
      <c r="I136" s="823">
        <f>+I21</f>
        <v>3032</v>
      </c>
      <c r="J136" s="91" t="s">
        <v>11</v>
      </c>
      <c r="K136" s="147"/>
      <c r="L136" s="824">
        <f>+L21</f>
        <v>0</v>
      </c>
      <c r="M136" s="3"/>
      <c r="P136" s="212"/>
      <c r="Q136" s="3"/>
    </row>
    <row r="137" spans="1:17" ht="30" customHeight="1" x14ac:dyDescent="0.4">
      <c r="B137" s="235"/>
      <c r="C137" s="571"/>
      <c r="D137" s="572"/>
      <c r="E137" s="572"/>
      <c r="F137" s="571"/>
      <c r="G137" s="573"/>
      <c r="H137" s="574"/>
      <c r="I137" s="825"/>
      <c r="J137" s="554"/>
      <c r="K137" s="554"/>
      <c r="L137" s="555"/>
      <c r="M137" s="3"/>
      <c r="P137" s="212"/>
      <c r="Q137" s="3"/>
    </row>
    <row r="138" spans="1:17" ht="30" customHeight="1" x14ac:dyDescent="0.4">
      <c r="B138" s="235"/>
      <c r="C138" s="789">
        <v>2022</v>
      </c>
      <c r="D138" s="869" t="s">
        <v>43</v>
      </c>
      <c r="E138" s="870"/>
      <c r="F138" s="871"/>
      <c r="G138" s="566"/>
      <c r="H138" s="567">
        <f>+H38</f>
        <v>0</v>
      </c>
      <c r="I138" s="823">
        <f>+I44</f>
        <v>1910</v>
      </c>
      <c r="J138" s="91" t="s">
        <v>11</v>
      </c>
      <c r="K138" s="91"/>
      <c r="L138" s="826">
        <f>+L44</f>
        <v>0</v>
      </c>
      <c r="M138" s="3"/>
      <c r="P138" s="212"/>
      <c r="Q138" s="3"/>
    </row>
    <row r="139" spans="1:17" ht="30" customHeight="1" x14ac:dyDescent="0.4">
      <c r="B139" s="235"/>
      <c r="C139" s="571"/>
      <c r="D139" s="572"/>
      <c r="E139" s="572"/>
      <c r="F139" s="571"/>
      <c r="G139" s="573"/>
      <c r="H139" s="574"/>
      <c r="I139" s="825"/>
      <c r="J139" s="554"/>
      <c r="K139" s="554"/>
      <c r="L139" s="555"/>
      <c r="M139" s="3"/>
      <c r="P139" s="212"/>
      <c r="Q139" s="3"/>
    </row>
    <row r="140" spans="1:17" ht="30" customHeight="1" x14ac:dyDescent="0.4">
      <c r="B140" s="235"/>
      <c r="C140" s="789">
        <v>2022</v>
      </c>
      <c r="D140" s="869" t="s">
        <v>44</v>
      </c>
      <c r="E140" s="870"/>
      <c r="F140" s="871"/>
      <c r="G140" s="575"/>
      <c r="H140" s="576"/>
      <c r="I140" s="827">
        <f>+I70</f>
        <v>1075</v>
      </c>
      <c r="J140" s="443" t="s">
        <v>11</v>
      </c>
      <c r="K140" s="443"/>
      <c r="L140" s="828">
        <f>+L70</f>
        <v>0</v>
      </c>
      <c r="M140" s="3"/>
      <c r="P140" s="212"/>
      <c r="Q140" s="3"/>
    </row>
    <row r="141" spans="1:17" ht="30" customHeight="1" x14ac:dyDescent="0.4">
      <c r="B141" s="235"/>
      <c r="C141" s="577"/>
      <c r="D141" s="578"/>
      <c r="E141" s="578"/>
      <c r="F141" s="577"/>
      <c r="G141" s="579"/>
      <c r="H141" s="580"/>
      <c r="I141" s="829"/>
      <c r="J141" s="560"/>
      <c r="K141" s="560"/>
      <c r="L141" s="562"/>
      <c r="M141" s="3"/>
      <c r="P141" s="212"/>
      <c r="Q141" s="3"/>
    </row>
    <row r="142" spans="1:17" ht="30" customHeight="1" x14ac:dyDescent="0.4">
      <c r="B142" s="235"/>
      <c r="C142" s="789">
        <v>2022</v>
      </c>
      <c r="D142" s="867" t="s">
        <v>45</v>
      </c>
      <c r="E142" s="867"/>
      <c r="F142" s="867"/>
      <c r="G142" s="566"/>
      <c r="H142" s="567">
        <f>SUM(H90)</f>
        <v>0</v>
      </c>
      <c r="I142" s="823">
        <f>+I94</f>
        <v>1010</v>
      </c>
      <c r="J142" s="91" t="s">
        <v>11</v>
      </c>
      <c r="K142" s="91"/>
      <c r="L142" s="826">
        <f>+L94</f>
        <v>0</v>
      </c>
      <c r="M142" s="3"/>
      <c r="P142" s="212"/>
      <c r="Q142" s="3"/>
    </row>
    <row r="143" spans="1:17" ht="30" customHeight="1" x14ac:dyDescent="0.4">
      <c r="B143" s="235"/>
      <c r="C143" s="581"/>
      <c r="D143" s="297"/>
      <c r="E143" s="297"/>
      <c r="F143" s="577"/>
      <c r="G143" s="579"/>
      <c r="H143" s="580"/>
      <c r="I143" s="829"/>
      <c r="J143" s="560"/>
      <c r="K143" s="560"/>
      <c r="L143" s="562"/>
      <c r="M143" s="3"/>
      <c r="P143" s="212"/>
      <c r="Q143" s="3"/>
    </row>
    <row r="144" spans="1:17" ht="30" customHeight="1" x14ac:dyDescent="0.4">
      <c r="B144" s="235"/>
      <c r="C144" s="789">
        <v>2022</v>
      </c>
      <c r="D144" s="879" t="s">
        <v>17</v>
      </c>
      <c r="E144" s="880"/>
      <c r="F144" s="881"/>
      <c r="G144" s="566"/>
      <c r="H144" s="567">
        <f>+H110+H112</f>
        <v>0</v>
      </c>
      <c r="I144" s="823">
        <f>+I122</f>
        <v>3850</v>
      </c>
      <c r="J144" s="91" t="s">
        <v>11</v>
      </c>
      <c r="K144" s="91"/>
      <c r="L144" s="826">
        <f>+L122</f>
        <v>0</v>
      </c>
      <c r="M144" s="3"/>
      <c r="P144" s="212"/>
      <c r="Q144" s="3"/>
    </row>
    <row r="145" spans="1:17" ht="30" customHeight="1" thickBot="1" x14ac:dyDescent="0.25">
      <c r="D145" s="297"/>
      <c r="E145" s="582"/>
      <c r="G145" s="583"/>
      <c r="H145" s="580"/>
      <c r="I145" s="580"/>
      <c r="J145" s="189"/>
      <c r="K145" s="818"/>
      <c r="L145" s="562"/>
      <c r="M145" s="3"/>
      <c r="N145" s="3"/>
      <c r="O145" s="3"/>
      <c r="P145" s="212"/>
      <c r="Q145" s="212"/>
    </row>
    <row r="146" spans="1:17" ht="30" customHeight="1" thickBot="1" x14ac:dyDescent="0.45">
      <c r="F146" s="748"/>
      <c r="G146" s="628"/>
      <c r="H146" s="654">
        <f>SUM(H136:H144)</f>
        <v>0</v>
      </c>
      <c r="I146" s="817">
        <f>SUM(I136:I144)</f>
        <v>10877</v>
      </c>
      <c r="J146" s="262" t="s">
        <v>11</v>
      </c>
      <c r="K146" s="262" t="s">
        <v>178</v>
      </c>
      <c r="L146" s="310">
        <f>SUM(L136:L144)</f>
        <v>0</v>
      </c>
      <c r="M146" s="3"/>
      <c r="N146" s="3"/>
      <c r="O146" s="3"/>
      <c r="P146" s="212"/>
      <c r="Q146" s="212"/>
    </row>
    <row r="147" spans="1:17" ht="24.95" customHeight="1" x14ac:dyDescent="0.25">
      <c r="K147" s="783"/>
      <c r="L147" s="783"/>
      <c r="P147" s="11"/>
    </row>
    <row r="148" spans="1:17" ht="9.9499999999999993" customHeight="1" x14ac:dyDescent="0.2">
      <c r="A148" s="48"/>
      <c r="B148" s="71"/>
      <c r="C148" s="71"/>
      <c r="D148" s="71"/>
      <c r="E148" s="72"/>
      <c r="F148" s="73"/>
      <c r="G148" s="624"/>
      <c r="H148" s="624"/>
      <c r="I148" s="74"/>
      <c r="J148" s="54"/>
      <c r="K148" s="54"/>
      <c r="L148" s="54"/>
      <c r="P148" s="11"/>
    </row>
    <row r="149" spans="1:17" ht="30" customHeight="1" x14ac:dyDescent="0.2">
      <c r="P149" s="11"/>
    </row>
    <row r="150" spans="1:17" ht="30" customHeight="1" x14ac:dyDescent="0.35">
      <c r="C150" s="75"/>
      <c r="D150" s="75"/>
      <c r="P150" s="11"/>
    </row>
    <row r="151" spans="1:17" ht="30" customHeight="1" x14ac:dyDescent="0.35">
      <c r="C151" s="380"/>
      <c r="D151" s="75"/>
      <c r="F151" s="483"/>
      <c r="P151" s="11"/>
    </row>
    <row r="152" spans="1:17" ht="30" customHeight="1" x14ac:dyDescent="0.25">
      <c r="C152" s="380"/>
      <c r="P152" s="11"/>
    </row>
    <row r="153" spans="1:17" ht="30" customHeight="1" x14ac:dyDescent="0.25">
      <c r="C153" s="380"/>
      <c r="P153" s="11"/>
    </row>
    <row r="154" spans="1:17" ht="30" customHeight="1" x14ac:dyDescent="0.25">
      <c r="C154" s="380"/>
      <c r="P154" s="11"/>
    </row>
    <row r="155" spans="1:17" ht="30" customHeight="1" x14ac:dyDescent="0.25">
      <c r="C155" s="380"/>
      <c r="F155" s="788"/>
      <c r="G155" s="629"/>
      <c r="H155" s="629"/>
      <c r="I155" s="788"/>
      <c r="J155" s="788"/>
      <c r="K155" s="788"/>
      <c r="L155" s="788"/>
      <c r="P155" s="11"/>
    </row>
    <row r="156" spans="1:17" ht="30" customHeight="1" x14ac:dyDescent="0.2">
      <c r="F156" s="788"/>
      <c r="G156" s="629"/>
      <c r="H156" s="629"/>
      <c r="I156" s="788"/>
      <c r="J156" s="788"/>
      <c r="K156" s="788"/>
      <c r="L156" s="788"/>
    </row>
    <row r="157" spans="1:17" ht="30" customHeight="1" x14ac:dyDescent="0.2">
      <c r="F157" s="788"/>
      <c r="G157" s="629"/>
      <c r="H157" s="629"/>
      <c r="I157" s="788"/>
      <c r="J157" s="788"/>
      <c r="K157" s="788"/>
      <c r="L157" s="788"/>
    </row>
    <row r="158" spans="1:17" ht="30" customHeight="1" x14ac:dyDescent="0.2">
      <c r="F158" s="788"/>
      <c r="G158" s="629"/>
      <c r="H158" s="629"/>
      <c r="I158" s="788"/>
      <c r="J158" s="788"/>
      <c r="K158" s="788"/>
      <c r="L158" s="788"/>
    </row>
    <row r="159" spans="1:17" ht="30" customHeight="1" x14ac:dyDescent="0.2">
      <c r="F159" s="788"/>
      <c r="G159" s="629"/>
      <c r="H159" s="629"/>
      <c r="I159" s="788"/>
      <c r="J159" s="788"/>
      <c r="K159" s="788"/>
      <c r="L159" s="788"/>
    </row>
    <row r="160" spans="1:17" ht="30" customHeight="1" x14ac:dyDescent="0.2">
      <c r="F160" s="607"/>
      <c r="G160" s="607"/>
      <c r="H160" s="607"/>
      <c r="I160" s="608"/>
      <c r="J160" s="788"/>
      <c r="K160" s="788"/>
      <c r="L160" s="604"/>
    </row>
    <row r="161" spans="6:12" ht="30" customHeight="1" x14ac:dyDescent="0.2">
      <c r="F161" s="607"/>
      <c r="G161" s="607"/>
      <c r="H161" s="607"/>
      <c r="I161" s="608"/>
      <c r="J161" s="788"/>
      <c r="K161" s="788"/>
      <c r="L161" s="788"/>
    </row>
    <row r="162" spans="6:12" ht="30" customHeight="1" x14ac:dyDescent="0.2">
      <c r="F162" s="607"/>
      <c r="G162" s="607"/>
      <c r="H162" s="607"/>
      <c r="I162" s="608"/>
      <c r="J162" s="788"/>
      <c r="K162" s="788"/>
      <c r="L162" s="788"/>
    </row>
    <row r="163" spans="6:12" ht="30" customHeight="1" x14ac:dyDescent="0.2">
      <c r="F163" s="607"/>
      <c r="G163" s="607"/>
      <c r="H163" s="607"/>
      <c r="I163" s="608"/>
      <c r="J163" s="788"/>
      <c r="K163" s="788"/>
      <c r="L163" s="606"/>
    </row>
    <row r="164" spans="6:12" ht="30" customHeight="1" x14ac:dyDescent="0.2">
      <c r="F164" s="607"/>
      <c r="G164" s="607"/>
      <c r="H164" s="607"/>
      <c r="I164" s="608"/>
      <c r="J164" s="788"/>
      <c r="K164" s="788"/>
      <c r="L164" s="788"/>
    </row>
    <row r="165" spans="6:12" ht="30" customHeight="1" x14ac:dyDescent="0.2">
      <c r="F165" s="607"/>
      <c r="G165" s="607"/>
      <c r="H165" s="607"/>
      <c r="I165" s="608"/>
      <c r="J165" s="788"/>
      <c r="K165" s="788"/>
      <c r="L165" s="788"/>
    </row>
    <row r="166" spans="6:12" ht="30" customHeight="1" x14ac:dyDescent="0.2">
      <c r="F166" s="788"/>
      <c r="G166" s="629"/>
      <c r="H166" s="629"/>
      <c r="I166" s="788"/>
      <c r="J166" s="788"/>
      <c r="K166" s="788"/>
      <c r="L166" s="788"/>
    </row>
    <row r="167" spans="6:12" ht="30" customHeight="1" x14ac:dyDescent="0.2">
      <c r="F167" s="788"/>
      <c r="G167" s="629"/>
      <c r="H167" s="629"/>
      <c r="I167" s="788"/>
      <c r="J167" s="788"/>
      <c r="K167" s="788"/>
      <c r="L167" s="788"/>
    </row>
    <row r="168" spans="6:12" ht="30" customHeight="1" x14ac:dyDescent="0.2">
      <c r="F168" s="788"/>
      <c r="G168" s="629"/>
      <c r="H168" s="629"/>
      <c r="I168" s="788"/>
      <c r="J168" s="788"/>
      <c r="K168" s="788"/>
      <c r="L168" s="788"/>
    </row>
    <row r="169" spans="6:12" ht="30" customHeight="1" x14ac:dyDescent="0.2">
      <c r="F169" s="788"/>
      <c r="G169" s="629"/>
      <c r="H169" s="629"/>
      <c r="I169" s="788"/>
      <c r="J169" s="788"/>
      <c r="K169" s="788"/>
      <c r="L169" s="788"/>
    </row>
    <row r="170" spans="6:12" ht="30" customHeight="1" x14ac:dyDescent="0.2"/>
    <row r="171" spans="6:12" ht="30" customHeight="1" x14ac:dyDescent="0.2"/>
    <row r="172" spans="6:12" ht="30" customHeight="1" x14ac:dyDescent="0.2"/>
    <row r="173" spans="6:12" ht="30" customHeight="1" x14ac:dyDescent="0.2"/>
    <row r="174" spans="6:12" ht="30" customHeight="1" x14ac:dyDescent="0.2"/>
    <row r="175" spans="6:12" ht="30" customHeight="1" x14ac:dyDescent="0.2"/>
    <row r="176" spans="6:12" ht="30" customHeight="1" x14ac:dyDescent="0.2"/>
    <row r="177" spans="2:17" ht="30" customHeight="1" x14ac:dyDescent="0.2"/>
    <row r="178" spans="2:17" ht="30" customHeight="1" x14ac:dyDescent="0.2"/>
    <row r="179" spans="2:17" ht="30" customHeight="1" x14ac:dyDescent="0.2"/>
    <row r="180" spans="2:17" ht="30" customHeight="1" x14ac:dyDescent="0.2"/>
    <row r="181" spans="2:17" ht="30" customHeight="1" x14ac:dyDescent="0.2"/>
    <row r="182" spans="2:17" ht="30" customHeight="1" x14ac:dyDescent="0.2"/>
    <row r="183" spans="2:17" s="4" customFormat="1" ht="30" customHeight="1" x14ac:dyDescent="0.2">
      <c r="B183" s="786"/>
      <c r="C183" s="786"/>
      <c r="D183" s="786"/>
      <c r="E183" s="786"/>
      <c r="F183" s="786"/>
      <c r="G183" s="614"/>
      <c r="H183" s="614"/>
      <c r="I183" s="786"/>
      <c r="J183" s="786"/>
      <c r="K183" s="786"/>
      <c r="L183" s="786"/>
      <c r="M183" s="786"/>
      <c r="N183" s="786"/>
      <c r="O183" s="786"/>
      <c r="P183" s="786"/>
      <c r="Q183" s="786"/>
    </row>
  </sheetData>
  <sheetProtection algorithmName="SHA-512" hashValue="ZICl7nvtfM+JhS3Y0kua17LM4bp2MGdQzAjxgFmwdzmSofbzCAPfZoG3jbmroN6q9EP2VQjDzYrz5xOEt9Q2mg==" saltValue="86t8sWsroe8hI/UjX4pB4Q==" spinCount="100000" sheet="1" objects="1" scenarios="1"/>
  <mergeCells count="46">
    <mergeCell ref="B25:D25"/>
    <mergeCell ref="A1:L1"/>
    <mergeCell ref="A2:D2"/>
    <mergeCell ref="A4:J4"/>
    <mergeCell ref="K5:L5"/>
    <mergeCell ref="B24:D24"/>
    <mergeCell ref="K59:L59"/>
    <mergeCell ref="B26:C26"/>
    <mergeCell ref="A29:E29"/>
    <mergeCell ref="A30:E30"/>
    <mergeCell ref="A35:J35"/>
    <mergeCell ref="K36:L36"/>
    <mergeCell ref="B47:D47"/>
    <mergeCell ref="A84:J84"/>
    <mergeCell ref="B48:D48"/>
    <mergeCell ref="B49:C49"/>
    <mergeCell ref="A52:E52"/>
    <mergeCell ref="A53:E53"/>
    <mergeCell ref="A58:J58"/>
    <mergeCell ref="B73:D73"/>
    <mergeCell ref="B74:D74"/>
    <mergeCell ref="B75:C75"/>
    <mergeCell ref="A78:E78"/>
    <mergeCell ref="A79:E79"/>
    <mergeCell ref="N110:P110"/>
    <mergeCell ref="C118:D118"/>
    <mergeCell ref="A123:E123"/>
    <mergeCell ref="A124:E124"/>
    <mergeCell ref="K85:L85"/>
    <mergeCell ref="B97:D97"/>
    <mergeCell ref="B98:D98"/>
    <mergeCell ref="B99:C99"/>
    <mergeCell ref="A102:E102"/>
    <mergeCell ref="A103:E103"/>
    <mergeCell ref="K135:L135"/>
    <mergeCell ref="D136:F136"/>
    <mergeCell ref="D138:F138"/>
    <mergeCell ref="A108:C108"/>
    <mergeCell ref="K108:L108"/>
    <mergeCell ref="D140:F140"/>
    <mergeCell ref="D142:F142"/>
    <mergeCell ref="D144:F144"/>
    <mergeCell ref="B113:E113"/>
    <mergeCell ref="A129:E129"/>
    <mergeCell ref="A130:E130"/>
    <mergeCell ref="A131:E131"/>
  </mergeCells>
  <printOptions gridLines="1"/>
  <pageMargins left="0.5" right="0.25" top="1" bottom="0.25" header="0" footer="0"/>
  <pageSetup paperSize="17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2019 Bid Sheet</vt:lpstr>
      <vt:lpstr>2019 Bid Award</vt:lpstr>
      <vt:lpstr>2020 Remaining Work</vt:lpstr>
      <vt:lpstr>2020 HMA Estimated Quantities</vt:lpstr>
      <vt:lpstr>2022 HMA Bidding Sheet XLS</vt:lpstr>
      <vt:lpstr>'2019 Bid Sheet'!Print_Area</vt:lpstr>
      <vt:lpstr>'2020 HMA Estimated Quantities'!Print_Area</vt:lpstr>
      <vt:lpstr>'2020 Remaining Work'!Print_Area</vt:lpstr>
      <vt:lpstr>'2022 HMA Bidding Sheet XLS'!Print_Area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Eric</cp:lastModifiedBy>
  <cp:lastPrinted>2022-03-17T19:42:37Z</cp:lastPrinted>
  <dcterms:created xsi:type="dcterms:W3CDTF">2015-06-02T13:59:04Z</dcterms:created>
  <dcterms:modified xsi:type="dcterms:W3CDTF">2022-03-23T20:11:38Z</dcterms:modified>
</cp:coreProperties>
</file>